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tabRatio="706" activeTab="8"/>
  </bookViews>
  <sheets>
    <sheet name="ตารางที่ 1" sheetId="1" r:id="rId1"/>
    <sheet name="ตารางที่ 2" sheetId="2" r:id="rId2"/>
    <sheet name="ตารางที่ 3" sheetId="3" r:id="rId3"/>
    <sheet name="ตารางที่ 4." sheetId="4" r:id="rId4"/>
    <sheet name="ตารางที่ 5." sheetId="5" r:id="rId5"/>
    <sheet name="ตารางที่ 6." sheetId="6" r:id="rId6"/>
    <sheet name="ตารางที่ 7." sheetId="7" r:id="rId7"/>
    <sheet name="ตารางที่ 8." sheetId="8" r:id="rId8"/>
    <sheet name="ตารางที่ 8 เปรียบเทียบ" sheetId="9" r:id="rId9"/>
  </sheets>
  <definedNames/>
  <calcPr fullCalcOnLoad="1"/>
</workbook>
</file>

<file path=xl/sharedStrings.xml><?xml version="1.0" encoding="utf-8"?>
<sst xmlns="http://schemas.openxmlformats.org/spreadsheetml/2006/main" count="267" uniqueCount="130">
  <si>
    <t>รูปแบบรายงานต้นทุนผลผลิต</t>
  </si>
  <si>
    <t>รายได้</t>
  </si>
  <si>
    <t>หน่วย : บาท</t>
  </si>
  <si>
    <t>รายได้จากรัฐบาล</t>
  </si>
  <si>
    <t>รายได้รวม</t>
  </si>
  <si>
    <t>รายได้สูง (ต่ำ) กว่าค่าใช้จ่ายสะสม</t>
  </si>
  <si>
    <t>ประเภทค่าใช้จ่าย</t>
  </si>
  <si>
    <t>เงินในงบประมาณ</t>
  </si>
  <si>
    <t>เงินนอกงบประมาณ</t>
  </si>
  <si>
    <t>งบกลาง (ถ้ามี)</t>
  </si>
  <si>
    <t>รวม</t>
  </si>
  <si>
    <t>หมายเหตุ</t>
  </si>
  <si>
    <t>ค่าใช้จ่ายรวมตามงบการเงิน</t>
  </si>
  <si>
    <t>ค่าใช้จ่ายโรงเรียนมัธยมสาธิต</t>
  </si>
  <si>
    <t>ต้นทุนการผลิตของหน่วยงาน</t>
  </si>
  <si>
    <t>ชื่อผลผลิต</t>
  </si>
  <si>
    <t>งบกลาง</t>
  </si>
  <si>
    <t>ค่าเสื่อมราคา</t>
  </si>
  <si>
    <t>ปริมาณ</t>
  </si>
  <si>
    <t>ต้นทุนต่อหน่วย</t>
  </si>
  <si>
    <t>1. การจัดการเรียนระดับปริญญาตรี</t>
  </si>
  <si>
    <t xml:space="preserve">    1.1 กลุ่มสาขาวิชาครุศาสตร์</t>
  </si>
  <si>
    <t xml:space="preserve">    1.2 กลุ่มสาขาบริหารธุรกิจ</t>
  </si>
  <si>
    <t xml:space="preserve">    1.3 กลุ่มสาขาวิชามนุษย์ศาสตร์</t>
  </si>
  <si>
    <t xml:space="preserve">    1.4 กลุ่มสาขาวิชาวิทยาศาสตร์</t>
  </si>
  <si>
    <t xml:space="preserve">    1.5 กลุ่มสาขาวิชาเทคโนโลยีอุตสาหกรรม</t>
  </si>
  <si>
    <t>4. การทำนุบำรุงรักษาศิลปวัฒนธรรม</t>
  </si>
  <si>
    <t>เพิ่มขึ้น (ลดลง)</t>
  </si>
  <si>
    <t>การวิเคราะห์สาเหตุการเปลี่ยนแปลงของรายได้</t>
  </si>
  <si>
    <t>ชื่อกิจกรรม</t>
  </si>
  <si>
    <t>เงินใน</t>
  </si>
  <si>
    <t>เงินนอก</t>
  </si>
  <si>
    <t>ค่าเสื่อม</t>
  </si>
  <si>
    <t>ต้นทุนรวม</t>
  </si>
  <si>
    <t>ต้นทุน</t>
  </si>
  <si>
    <t>งบประมาณ</t>
  </si>
  <si>
    <t>ราคา</t>
  </si>
  <si>
    <t>ต่อหน่วย</t>
  </si>
  <si>
    <t>5. ผลงานวิจัย</t>
  </si>
  <si>
    <t>ปริมาณเพิ่มขึ้น (ลดลง)</t>
  </si>
  <si>
    <t>ต้นทุนต่อหน่วยเพิ่มขึ้น (ลดลง)</t>
  </si>
  <si>
    <t>ต้นทุนรวมเพิ่มขึ้น (ลดลง)</t>
  </si>
  <si>
    <t>การวิเคราะห์สาเหตุการเปลี่ยนแปลงของต้นทุนกิจกรรม</t>
  </si>
  <si>
    <t>การวิเคราะห์สาเหตุการเปลี่ยนแปลงของค่าใช้จ่าย</t>
  </si>
  <si>
    <r>
      <t>หัก</t>
    </r>
    <r>
      <rPr>
        <sz val="16"/>
        <rFont val="TH SarabunPSK"/>
        <family val="2"/>
      </rPr>
      <t xml:space="preserve"> ค่าใช้จ่ายบำนาญ</t>
    </r>
  </si>
  <si>
    <t>1. การจัดการเรียนการสอนระดับปริญญาตรี</t>
  </si>
  <si>
    <t>รายได้จากเงินช่วยเหลือและเงินบริจาค</t>
  </si>
  <si>
    <t>มหาวิทยาลัยราชภัฏพระนคร</t>
  </si>
  <si>
    <t>รายงานต้นทุนผลผลิต</t>
  </si>
  <si>
    <r>
      <t>ตารางที่ 1</t>
    </r>
    <r>
      <rPr>
        <b/>
        <sz val="16"/>
        <rFont val="TH SarabunPSK"/>
        <family val="2"/>
      </rPr>
      <t xml:space="preserve">  รายงานรายได้แยกประเภทตามแหล่งของเงิน </t>
    </r>
  </si>
  <si>
    <t>1. ค่าใช้จ่ายด้านบุคลากร</t>
  </si>
  <si>
    <t>2. ค่าใช้จ่ายด้านการฝึกอบรม</t>
  </si>
  <si>
    <t>3. ค่าใช้จ่ายในการเดินทาง</t>
  </si>
  <si>
    <t>4. ค่าตอบแทน ใช้สอย วัสดุ</t>
  </si>
  <si>
    <t>5. ค่าเสื่อมราคาและค่าตัดจำหน่าย</t>
  </si>
  <si>
    <t>6. ค่าใช้จ่ายเงินอุดหนุน</t>
  </si>
  <si>
    <t xml:space="preserve">7. ค่าใช้จ่ายอื่น ๆ </t>
  </si>
  <si>
    <t>รายได้อื่น</t>
  </si>
  <si>
    <t>1. ค่าใช้จ่ายบุคลากร</t>
  </si>
  <si>
    <t>7. ค่าใช้จ่ายอื่น ๆ</t>
  </si>
  <si>
    <t>รายได้จากการขายและบริการ</t>
  </si>
  <si>
    <t>4. ค่าตอบแทน ใช้สอยวัสดุและสาธารณูปโภค</t>
  </si>
  <si>
    <t>3. การทำนุบำรุงรักษาศิลปวัฒนธรรม</t>
  </si>
  <si>
    <t>4. ผลงานวิจัย</t>
  </si>
  <si>
    <t>3. การบริการวิชาการ</t>
  </si>
  <si>
    <t>4. การบริหารมหาวิทยาลัย</t>
  </si>
  <si>
    <t>5. การทำนุบำรุงรักษาศิลปวัฒนธรรม</t>
  </si>
  <si>
    <t>6. งานวิจัย</t>
  </si>
  <si>
    <t>ประจำปีงบประมาณ พ.ศ.2562</t>
  </si>
  <si>
    <t>ค่าใช้จ่ายอนุบาลปฐมวัย</t>
  </si>
  <si>
    <t>หน่วยงานนอกโครงสร้าง</t>
  </si>
  <si>
    <r>
      <t>ตารางที่ 3</t>
    </r>
    <r>
      <rPr>
        <b/>
        <sz val="14"/>
        <rFont val="TH SarabunPSK"/>
        <family val="2"/>
      </rPr>
      <t xml:space="preserve">  รายงานต้นทุนกิจกรรม  ประจำปีงบประมาณ พ.ศ. 2562</t>
    </r>
  </si>
  <si>
    <t>13,766 FTES</t>
  </si>
  <si>
    <t>511 FTES</t>
  </si>
  <si>
    <t>261 เรื่องเทียบเท่า</t>
  </si>
  <si>
    <t>404 เรื่องเทียบเท่า</t>
  </si>
  <si>
    <t>2 การจัดการเรียนการสอนระดับบัณฑิตศึกษา</t>
  </si>
  <si>
    <r>
      <t>ตารางที่ 4</t>
    </r>
    <r>
      <rPr>
        <b/>
        <sz val="14"/>
        <rFont val="TH SarabunPSK"/>
        <family val="2"/>
      </rPr>
      <t xml:space="preserve">  รายงานต้นทุนผลผลิต  ประจำปีงบประมาณ พ.ศ. 2562</t>
    </r>
  </si>
  <si>
    <t>2,440 FTES</t>
  </si>
  <si>
    <t>4,042 FTES</t>
  </si>
  <si>
    <t>4,000 FTES</t>
  </si>
  <si>
    <t>1,910  FTES</t>
  </si>
  <si>
    <t>1,374  FTES</t>
  </si>
  <si>
    <r>
      <t>ตารางที่ 5</t>
    </r>
    <r>
      <rPr>
        <b/>
        <sz val="16"/>
        <rFont val="TH SarabunPSK"/>
        <family val="2"/>
      </rPr>
      <t xml:space="preserve">  รายงานการเปรียบเทียบรายได้แยกประเภทตามแหล่งของเงิน ประจำปีงบประมาณ พ.ศ. 2562 และ  2561</t>
    </r>
  </si>
  <si>
    <t>ปี  2562</t>
  </si>
  <si>
    <t>ปี  2561</t>
  </si>
  <si>
    <t>ปีงบประมาณ  2562</t>
  </si>
  <si>
    <t>ปีงบประมาณ  2561</t>
  </si>
  <si>
    <t>2. การจัดการเรียนการสอนระดับบัณฑิตศึกษา</t>
  </si>
  <si>
    <t>15,693 FTES</t>
  </si>
  <si>
    <t>603 FTES</t>
  </si>
  <si>
    <t>456 เรื่องเทียบเท่า</t>
  </si>
  <si>
    <t>3,277 เรื่องเทียบเท่า</t>
  </si>
  <si>
    <t>20 โครงการ</t>
  </si>
  <si>
    <t>358 เรื่องเทียบเท่า</t>
  </si>
  <si>
    <t>เพิ่ม/(ลด)%</t>
  </si>
  <si>
    <t>เพิ่ม/(ลด) %</t>
  </si>
  <si>
    <r>
      <t>ตารางที่ 8-1</t>
    </r>
    <r>
      <rPr>
        <b/>
        <sz val="16"/>
        <rFont val="TH SarabunPSK"/>
        <family val="2"/>
      </rPr>
      <t xml:space="preserve">   รายงานเปรียบเทียบต้นทุนผลผลิต ประจำปีงบประมาณ  พ.ศ. 2562 และ 2561</t>
    </r>
  </si>
  <si>
    <t>4,042  FTES</t>
  </si>
  <si>
    <t>1,910 FTES</t>
  </si>
  <si>
    <t>1,374 FTES</t>
  </si>
  <si>
    <t xml:space="preserve">  511 FTES</t>
  </si>
  <si>
    <t>511  FTES</t>
  </si>
  <si>
    <r>
      <t>ตารางที่ 8-2</t>
    </r>
    <r>
      <rPr>
        <b/>
        <sz val="16"/>
        <rFont val="TH SarabunPSK"/>
        <family val="2"/>
      </rPr>
      <t xml:space="preserve">   รายงานเปรียบเทียบต้นทุนผลผลิต ประจำปีงบประมาณ  พ.ศ. 2562 และ 2561  (ต่อ)</t>
    </r>
  </si>
  <si>
    <t>2,422 FTES</t>
  </si>
  <si>
    <t>4,813  FTES</t>
  </si>
  <si>
    <t>4,639 FTES</t>
  </si>
  <si>
    <t>2,364 FTES</t>
  </si>
  <si>
    <t>1,455  FTES</t>
  </si>
  <si>
    <t>603  TES</t>
  </si>
  <si>
    <r>
      <t>ตารางที่ 8-3</t>
    </r>
    <r>
      <rPr>
        <b/>
        <sz val="16"/>
        <rFont val="TH SarabunPSK"/>
        <family val="2"/>
      </rPr>
      <t xml:space="preserve">   ตัวอย่างรายงานการเปรียบเทียบต้นทุนผลผลิต ประจำปีงบประมาณ 2562 และ 2561(ต่อ)</t>
    </r>
  </si>
  <si>
    <t>2. ค่าใช้จ่ายเงินอุดหนุนงานวิจัยของมหาวิทยาลัยที่ได้รับลดลงเนื่องจากต้องผ่านเกณฑ์การประเมินและสามารถนำผลงานไปใช้ได้จริงจึงจะได้รับอนุมัติงบประมาณ</t>
  </si>
  <si>
    <t>3,336 เรื่องเทียบเท่า</t>
  </si>
  <si>
    <t>2. กิจกรรมการจัดการเรียนการสอนระดับบัณฑิตศึกษาลดลงเนื่องจาก ปีงบประมาณ 2562 มหาวิทยาลัยปรับโครงสร้างสำนักงานบัณฑิตศึกษาโดยให้บุคลากรที่สังกัดโยกย้ายไปตามคณะ</t>
  </si>
  <si>
    <t>1. รายได้อื่นเพิ่มขึ้นเนื่องจากรายได้ดอกเบี้ยเพิ่มขึ้นจากเดิม 55 % ซึ่งเกิดจากดอกเบี้ยเงินฝากประจำ 60 เดือนครบกำหนดและมีการลงทุนในเงินฝากระยะสั้นเพิ่มขึ้น</t>
  </si>
  <si>
    <t xml:space="preserve">    และมหาวิทยาลัยได้รับเงินอุดหนุนเพิ่มเติมจากหน่วยงานภาครัฐ</t>
  </si>
  <si>
    <t>1. กิจกรรมการจัดการเรียนการสอนระดับปริญญาตรีลดลงเนื่องจากจำนวนนักศึกษา ปีงบประมาณ 2562 ลดลงจากปีงบประมาณ 2561 คิดเป็นร้อยละ 12.28 โดยส่วนใหญ่เป็นคณะวิทยาศาสตร์ คิดเป็นร้อยละ 19.20 รองลงมาเป็นคณะวิทยาการจัดการ คิดเป็นร้อยละ 16.02</t>
  </si>
  <si>
    <t xml:space="preserve">              6.มหาวิทยาลัยได้รับจัดสรรงบประมาณในการทำวิจัยลดลงเนื่องจากผลงานวิจัยไม่ผ่านเกณฑ์การประเมินจึงได้รับอนุมัติงบประมาณลดลง</t>
  </si>
  <si>
    <r>
      <rPr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1.วิทยาลัยการฝึกหัดครูได้รับจัดสรรงบประมาณ เพิ่มขึ้นจากปีงบประมาณ 2561  จากแผนยุทธศาสตร์มหาวิทยลัยราชภัฏพระนครเพื่อการพัฒนาท้องถิ่น</t>
    </r>
  </si>
  <si>
    <t xml:space="preserve">              2.คณะมนุษยศาสตร์และสังคมศาสตร์ได้รับจัดสรรงบประมาณ เพิ่มขึ้นจากปีงบประมาณ2561 จากแผนยุทธศาสตร์มหาวิทยลัยราชภัฏพระนครเพื่อการพัฒนาท้องถิ่น</t>
  </si>
  <si>
    <t xml:space="preserve">              3.คณะวิทยาศาสตร์และเทคโนโลยีได้รับจัดสรรงบประมาณ เพิ่มขึ้นจากปีงบประมาณ2561 จากแผนยุทธศาสตร์มหาวิทยลัยราชภัฏพระนครเพื่อการพัฒนาท้องถิ่น</t>
  </si>
  <si>
    <t xml:space="preserve">              4.คณะเทคโนโลยีอุตสาหกรรมได้รับจัดสรรงบประมาณ เพิ่มขึ้นจากปีงบประมาณ2561 จากแผนยุทธศาสตร์มหาวิทยลัยราชภัฏพระนครเพื่อการพัฒนาท้องถิ่น</t>
  </si>
  <si>
    <t xml:space="preserve">              5.จำนวนนักศึกษาของมหาวิทยาลัยในปีงบประมาณ 2562 ลดลงจากปีงบประมาณ 2561 คิดเป็นร้อยละ 12.28 โดยส่วนใหญ่เป็นคณะวิทยาศาสตร์และเทคโนโลยี</t>
  </si>
  <si>
    <t xml:space="preserve">                 คิดเป็นร้อยละ 19.20  รองลงมาเป็นคณะวิทยาการจัดการ คิดเป็นร้อยละ 16.02</t>
  </si>
  <si>
    <t xml:space="preserve">1. ค่าใช้จ่ายในการเดินทางลดลงเนื่องจาก ปีงบประมาณ 2562  มหาวิทยาลัยมีนโยบายปรับลดค่าใช้จ่ายในการเดินทางไปราชการให้เฉพาะผู้บริหารและบุคลากรที่มีภาระกิจสำคัญฯ </t>
  </si>
  <si>
    <t>3. ค่าใช้จ่ายอื่นๆเพิ่มขึ้นเนื่องจากมหาวิทยาลัยได้จ่ายเงินชดใช้ให้กับบุคลากร</t>
  </si>
  <si>
    <r>
      <rPr>
        <b/>
        <u val="single"/>
        <sz val="16"/>
        <rFont val="TH SarabunPSK"/>
        <family val="2"/>
      </rPr>
      <t>ตารางที่ 6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 รายงานเปรียบเทียบต้นทุนตามประเภทค่าใช้จ่ายประจำปีงบประมาณ พ.ศ.2562 และ  2561</t>
    </r>
  </si>
  <si>
    <r>
      <t>ตารางที่ 2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รายงานประเภทค่าใช้จ่ายของหน่วยงาน</t>
    </r>
  </si>
  <si>
    <r>
      <rPr>
        <b/>
        <u val="single"/>
        <sz val="16"/>
        <rFont val="TH SarabunPSK"/>
        <family val="2"/>
      </rPr>
      <t>ตารางที่ 7</t>
    </r>
    <r>
      <rPr>
        <sz val="16"/>
        <rFont val="TH SarabunPSK"/>
        <family val="2"/>
      </rPr>
      <t xml:space="preserve">   </t>
    </r>
    <r>
      <rPr>
        <b/>
        <sz val="16"/>
        <rFont val="TH SarabunPSK"/>
        <family val="2"/>
      </rPr>
      <t>รายงานเปรียบเทียบต้นทุนกิจกรรม ประจำปีงบประมาณ  พ.ศ. 2562  และ 2561</t>
    </r>
  </si>
  <si>
    <t>3 .กิจกรรมการทำวิจัยลดลงเนื่องจากได้รับเงินอุดหนุนในการทำวิจัยปีงบประมาณ 2562 ลดลง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</si>
</sst>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;[Red]\(#.00\)"/>
    <numFmt numFmtId="192" formatCode="\t&quot;฿&quot;#,##0.00_);[Red]\(0.00\)"/>
    <numFmt numFmtId="193" formatCode="#,##0.0;[Red]\(#.000\)"/>
    <numFmt numFmtId="194" formatCode="#,##0.00;[Red]\(#.0000\)"/>
    <numFmt numFmtId="195" formatCode="0.0000"/>
    <numFmt numFmtId="196" formatCode="0.000"/>
    <numFmt numFmtId="197" formatCode="#,##0;[Red]\(#.0\)"/>
    <numFmt numFmtId="198" formatCode="#,##0;[Red]\(#\)"/>
    <numFmt numFmtId="199" formatCode="#,##0.0;[Red]\(#.0\)"/>
    <numFmt numFmtId="200" formatCode="#,##0.00;[Red]\(#.00\)"/>
    <numFmt numFmtId="201" formatCode="#,##0.000;[Red]\(#.000\)"/>
    <numFmt numFmtId="202" formatCode="#,##0.0;[Red]\(#.00\)"/>
    <numFmt numFmtId="203" formatCode="#,##0.00;[Red]\(#.000\)"/>
    <numFmt numFmtId="204" formatCode="#,##0.000;[Red]\(#.00000\)"/>
    <numFmt numFmtId="205" formatCode="_-* #,##0.0_-;\-* #,##0.0_-;_-* &quot;-&quot;??_-;_-@_-"/>
    <numFmt numFmtId="206" formatCode="#,##0;\(#.00\)"/>
    <numFmt numFmtId="207" formatCode="#,##0.0;\(#.000\)"/>
    <numFmt numFmtId="208" formatCode="#,##0.00;\(#.0000\)"/>
    <numFmt numFmtId="209" formatCode="#,##0;\(#.0\)"/>
    <numFmt numFmtId="210" formatCode="#,##0;\(#\)"/>
    <numFmt numFmtId="211" formatCode="#,##0.0;\(#.0\)"/>
    <numFmt numFmtId="212" formatCode="#,##0.00;\(#.00\)"/>
    <numFmt numFmtId="213" formatCode="#,##0.0;\(#.00\)"/>
    <numFmt numFmtId="214" formatCode="#,##0.00;\(#.000\)"/>
    <numFmt numFmtId="215" formatCode="\t&quot;฿&quot;#,##0.00_);\(0.00\)"/>
    <numFmt numFmtId="216" formatCode="#,##0.000;\(#.00000\)"/>
    <numFmt numFmtId="217" formatCode="#,##0.0000;\(#.000000\)"/>
    <numFmt numFmtId="218" formatCode="&quot;฿&quot;#,##0;[Red]\-#,##0"/>
    <numFmt numFmtId="219" formatCode="#,##0.000;[Red]\(#.0000\)"/>
    <numFmt numFmtId="220" formatCode="#,##0.0000;[Red]\(#.00000\)"/>
    <numFmt numFmtId="221" formatCode="#,##0.00;[Red]#,##0.00"/>
    <numFmt numFmtId="222" formatCode="0.0"/>
    <numFmt numFmtId="223" formatCode="0.00000"/>
    <numFmt numFmtId="224" formatCode="&quot;ใช่&quot;;&quot;ใช่&quot;;&quot;ไม่ใช่&quot;"/>
    <numFmt numFmtId="225" formatCode="&quot;จริง&quot;;&quot;จริง&quot;;&quot;เท็จ&quot;"/>
    <numFmt numFmtId="226" formatCode="&quot;เปิด&quot;;&quot;เปิด&quot;;&quot;ปิด&quot;"/>
    <numFmt numFmtId="22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b/>
      <sz val="10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43" fontId="5" fillId="0" borderId="10" xfId="36" applyFont="1" applyBorder="1" applyAlignment="1">
      <alignment/>
    </xf>
    <xf numFmtId="0" fontId="5" fillId="0" borderId="0" xfId="0" applyFont="1" applyAlignment="1">
      <alignment/>
    </xf>
    <xf numFmtId="43" fontId="5" fillId="0" borderId="0" xfId="36" applyFont="1" applyAlignment="1">
      <alignment/>
    </xf>
    <xf numFmtId="43" fontId="5" fillId="0" borderId="0" xfId="36" applyFont="1" applyAlignment="1">
      <alignment horizontal="right"/>
    </xf>
    <xf numFmtId="0" fontId="2" fillId="0" borderId="10" xfId="0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43" fontId="5" fillId="0" borderId="11" xfId="36" applyFont="1" applyBorder="1" applyAlignment="1">
      <alignment/>
    </xf>
    <xf numFmtId="43" fontId="5" fillId="0" borderId="12" xfId="36" applyFont="1" applyBorder="1" applyAlignment="1">
      <alignment/>
    </xf>
    <xf numFmtId="0" fontId="7" fillId="0" borderId="0" xfId="0" applyFont="1" applyAlignment="1">
      <alignment/>
    </xf>
    <xf numFmtId="43" fontId="3" fillId="0" borderId="0" xfId="36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36" applyFont="1" applyBorder="1" applyAlignment="1">
      <alignment horizontal="center"/>
    </xf>
    <xf numFmtId="0" fontId="3" fillId="0" borderId="13" xfId="0" applyFont="1" applyBorder="1" applyAlignment="1">
      <alignment/>
    </xf>
    <xf numFmtId="43" fontId="3" fillId="0" borderId="13" xfId="36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4" xfId="36" applyFont="1" applyBorder="1" applyAlignment="1">
      <alignment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15" xfId="0" applyFont="1" applyBorder="1" applyAlignment="1">
      <alignment/>
    </xf>
    <xf numFmtId="43" fontId="3" fillId="0" borderId="15" xfId="36" applyFont="1" applyBorder="1" applyAlignment="1">
      <alignment/>
    </xf>
    <xf numFmtId="0" fontId="8" fillId="0" borderId="16" xfId="0" applyFont="1" applyBorder="1" applyAlignment="1">
      <alignment horizontal="center"/>
    </xf>
    <xf numFmtId="43" fontId="3" fillId="0" borderId="16" xfId="36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43" fontId="5" fillId="0" borderId="18" xfId="36" applyFont="1" applyBorder="1" applyAlignment="1">
      <alignment/>
    </xf>
    <xf numFmtId="0" fontId="5" fillId="0" borderId="14" xfId="0" applyFont="1" applyBorder="1" applyAlignment="1">
      <alignment/>
    </xf>
    <xf numFmtId="43" fontId="5" fillId="0" borderId="14" xfId="36" applyFont="1" applyBorder="1" applyAlignment="1">
      <alignment/>
    </xf>
    <xf numFmtId="0" fontId="9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36" applyFont="1" applyBorder="1" applyAlignment="1">
      <alignment/>
    </xf>
    <xf numFmtId="43" fontId="3" fillId="0" borderId="0" xfId="36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43" fontId="13" fillId="0" borderId="14" xfId="36" applyFont="1" applyBorder="1" applyAlignment="1">
      <alignment/>
    </xf>
    <xf numFmtId="43" fontId="13" fillId="0" borderId="21" xfId="36" applyFont="1" applyBorder="1" applyAlignment="1">
      <alignment/>
    </xf>
    <xf numFmtId="0" fontId="13" fillId="0" borderId="14" xfId="0" applyFont="1" applyBorder="1" applyAlignment="1">
      <alignment horizontal="center"/>
    </xf>
    <xf numFmtId="43" fontId="13" fillId="0" borderId="23" xfId="36" applyFont="1" applyBorder="1" applyAlignment="1">
      <alignment/>
    </xf>
    <xf numFmtId="0" fontId="13" fillId="0" borderId="21" xfId="0" applyFont="1" applyBorder="1" applyAlignment="1">
      <alignment/>
    </xf>
    <xf numFmtId="43" fontId="13" fillId="0" borderId="24" xfId="36" applyFont="1" applyBorder="1" applyAlignment="1">
      <alignment/>
    </xf>
    <xf numFmtId="43" fontId="13" fillId="0" borderId="25" xfId="36" applyFont="1" applyBorder="1" applyAlignment="1">
      <alignment/>
    </xf>
    <xf numFmtId="43" fontId="13" fillId="0" borderId="26" xfId="36" applyFont="1" applyBorder="1" applyAlignment="1">
      <alignment/>
    </xf>
    <xf numFmtId="0" fontId="12" fillId="0" borderId="16" xfId="0" applyFont="1" applyBorder="1" applyAlignment="1">
      <alignment horizontal="center"/>
    </xf>
    <xf numFmtId="43" fontId="13" fillId="0" borderId="16" xfId="36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5" xfId="0" applyFont="1" applyBorder="1" applyAlignment="1">
      <alignment/>
    </xf>
    <xf numFmtId="43" fontId="13" fillId="0" borderId="14" xfId="36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3" fontId="2" fillId="0" borderId="18" xfId="36" applyFont="1" applyBorder="1" applyAlignment="1">
      <alignment horizontal="right"/>
    </xf>
    <xf numFmtId="214" fontId="3" fillId="0" borderId="10" xfId="0" applyNumberFormat="1" applyFont="1" applyBorder="1" applyAlignment="1" quotePrefix="1">
      <alignment horizontal="center"/>
    </xf>
    <xf numFmtId="213" fontId="3" fillId="0" borderId="13" xfId="36" applyNumberFormat="1" applyFont="1" applyBorder="1" applyAlignment="1" quotePrefix="1">
      <alignment horizontal="center"/>
    </xf>
    <xf numFmtId="43" fontId="2" fillId="0" borderId="18" xfId="36" applyFont="1" applyBorder="1" applyAlignment="1">
      <alignment horizontal="center"/>
    </xf>
    <xf numFmtId="43" fontId="2" fillId="0" borderId="13" xfId="36" applyFont="1" applyBorder="1" applyAlignment="1" quotePrefix="1">
      <alignment horizontal="center"/>
    </xf>
    <xf numFmtId="0" fontId="13" fillId="0" borderId="0" xfId="0" applyFont="1" applyAlignment="1">
      <alignment/>
    </xf>
    <xf numFmtId="213" fontId="3" fillId="0" borderId="10" xfId="0" applyNumberFormat="1" applyFont="1" applyBorder="1" applyAlignment="1" quotePrefix="1">
      <alignment horizontal="center"/>
    </xf>
    <xf numFmtId="0" fontId="3" fillId="33" borderId="0" xfId="0" applyFont="1" applyFill="1" applyAlignment="1">
      <alignment/>
    </xf>
    <xf numFmtId="43" fontId="3" fillId="0" borderId="13" xfId="0" applyNumberFormat="1" applyFont="1" applyBorder="1" applyAlignment="1">
      <alignment/>
    </xf>
    <xf numFmtId="43" fontId="3" fillId="0" borderId="27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3" fontId="13" fillId="0" borderId="14" xfId="0" applyNumberFormat="1" applyFont="1" applyBorder="1" applyAlignment="1">
      <alignment horizontal="center"/>
    </xf>
    <xf numFmtId="43" fontId="13" fillId="0" borderId="21" xfId="0" applyNumberFormat="1" applyFont="1" applyBorder="1" applyAlignment="1">
      <alignment/>
    </xf>
    <xf numFmtId="43" fontId="13" fillId="33" borderId="14" xfId="36" applyFont="1" applyFill="1" applyBorder="1" applyAlignment="1">
      <alignment/>
    </xf>
    <xf numFmtId="43" fontId="13" fillId="33" borderId="23" xfId="36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43" fontId="5" fillId="33" borderId="16" xfId="36" applyFont="1" applyFill="1" applyBorder="1" applyAlignment="1">
      <alignment/>
    </xf>
    <xf numFmtId="43" fontId="5" fillId="33" borderId="28" xfId="36" applyFont="1" applyFill="1" applyBorder="1" applyAlignment="1">
      <alignment/>
    </xf>
    <xf numFmtId="43" fontId="5" fillId="0" borderId="19" xfId="36" applyFont="1" applyBorder="1" applyAlignment="1">
      <alignment/>
    </xf>
    <xf numFmtId="43" fontId="5" fillId="33" borderId="10" xfId="36" applyFont="1" applyFill="1" applyBorder="1" applyAlignment="1">
      <alignment/>
    </xf>
    <xf numFmtId="0" fontId="13" fillId="33" borderId="24" xfId="0" applyFont="1" applyFill="1" applyBorder="1" applyAlignment="1">
      <alignment horizontal="center" shrinkToFit="1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24" xfId="36" applyFont="1" applyBorder="1" applyAlignment="1">
      <alignment/>
    </xf>
    <xf numFmtId="0" fontId="5" fillId="0" borderId="29" xfId="0" applyFont="1" applyBorder="1" applyAlignment="1">
      <alignment/>
    </xf>
    <xf numFmtId="43" fontId="5" fillId="33" borderId="30" xfId="36" applyFont="1" applyFill="1" applyBorder="1" applyAlignment="1">
      <alignment/>
    </xf>
    <xf numFmtId="213" fontId="3" fillId="0" borderId="31" xfId="36" applyNumberFormat="1" applyFont="1" applyBorder="1" applyAlignment="1" quotePrefix="1">
      <alignment horizontal="center"/>
    </xf>
    <xf numFmtId="0" fontId="3" fillId="0" borderId="0" xfId="0" applyFont="1" applyAlignment="1" quotePrefix="1">
      <alignment/>
    </xf>
    <xf numFmtId="43" fontId="2" fillId="0" borderId="13" xfId="36" applyFont="1" applyBorder="1" applyAlignment="1" quotePrefix="1">
      <alignment horizontal="right"/>
    </xf>
    <xf numFmtId="200" fontId="2" fillId="0" borderId="13" xfId="36" applyNumberFormat="1" applyFont="1" applyBorder="1" applyAlignment="1" quotePrefix="1">
      <alignment horizontal="right"/>
    </xf>
    <xf numFmtId="0" fontId="13" fillId="0" borderId="0" xfId="0" applyFont="1" applyAlignment="1" quotePrefix="1">
      <alignment/>
    </xf>
    <xf numFmtId="200" fontId="2" fillId="0" borderId="15" xfId="36" applyNumberFormat="1" applyFont="1" applyBorder="1" applyAlignment="1" quotePrefix="1">
      <alignment horizontal="right"/>
    </xf>
    <xf numFmtId="43" fontId="5" fillId="0" borderId="0" xfId="36" applyFont="1" applyBorder="1" applyAlignment="1">
      <alignment/>
    </xf>
    <xf numFmtId="43" fontId="3" fillId="0" borderId="27" xfId="36" applyFont="1" applyBorder="1" applyAlignment="1">
      <alignment/>
    </xf>
    <xf numFmtId="43" fontId="3" fillId="0" borderId="13" xfId="36" applyFont="1" applyBorder="1" applyAlignment="1">
      <alignment horizontal="center"/>
    </xf>
    <xf numFmtId="43" fontId="3" fillId="0" borderId="14" xfId="36" applyFont="1" applyBorder="1" applyAlignment="1">
      <alignment horizontal="center"/>
    </xf>
    <xf numFmtId="43" fontId="3" fillId="0" borderId="15" xfId="36" applyFont="1" applyBorder="1" applyAlignment="1">
      <alignment horizontal="center"/>
    </xf>
    <xf numFmtId="4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3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43" fontId="14" fillId="0" borderId="13" xfId="36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4" fillId="0" borderId="13" xfId="36" applyFont="1" applyBorder="1" applyAlignment="1">
      <alignment horizontal="right"/>
    </xf>
    <xf numFmtId="208" fontId="14" fillId="0" borderId="18" xfId="0" applyNumberFormat="1" applyFont="1" applyBorder="1" applyAlignment="1">
      <alignment/>
    </xf>
    <xf numFmtId="0" fontId="14" fillId="0" borderId="14" xfId="0" applyFont="1" applyBorder="1" applyAlignment="1">
      <alignment/>
    </xf>
    <xf numFmtId="43" fontId="14" fillId="0" borderId="14" xfId="36" applyFont="1" applyBorder="1" applyAlignment="1">
      <alignment/>
    </xf>
    <xf numFmtId="43" fontId="14" fillId="0" borderId="14" xfId="36" applyFont="1" applyBorder="1" applyAlignment="1">
      <alignment horizontal="right"/>
    </xf>
    <xf numFmtId="4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/>
    </xf>
    <xf numFmtId="43" fontId="14" fillId="0" borderId="15" xfId="36" applyFont="1" applyBorder="1" applyAlignment="1">
      <alignment/>
    </xf>
    <xf numFmtId="43" fontId="14" fillId="0" borderId="15" xfId="0" applyNumberFormat="1" applyFont="1" applyBorder="1" applyAlignment="1">
      <alignment/>
    </xf>
    <xf numFmtId="43" fontId="14" fillId="0" borderId="15" xfId="36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43" fontId="14" fillId="0" borderId="16" xfId="36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7" xfId="36" applyFont="1" applyBorder="1" applyAlignment="1">
      <alignment horizontal="center"/>
    </xf>
    <xf numFmtId="208" fontId="14" fillId="0" borderId="16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202" fontId="2" fillId="0" borderId="13" xfId="36" applyNumberFormat="1" applyFont="1" applyBorder="1" applyAlignment="1" quotePrefix="1">
      <alignment horizontal="right"/>
    </xf>
    <xf numFmtId="191" fontId="2" fillId="0" borderId="13" xfId="36" applyNumberFormat="1" applyFont="1" applyBorder="1" applyAlignment="1" quotePrefix="1">
      <alignment horizontal="right"/>
    </xf>
    <xf numFmtId="191" fontId="14" fillId="0" borderId="13" xfId="0" applyNumberFormat="1" applyFont="1" applyBorder="1" applyAlignment="1">
      <alignment/>
    </xf>
    <xf numFmtId="202" fontId="14" fillId="0" borderId="13" xfId="0" applyNumberFormat="1" applyFont="1" applyBorder="1" applyAlignment="1">
      <alignment/>
    </xf>
    <xf numFmtId="202" fontId="14" fillId="0" borderId="14" xfId="0" applyNumberFormat="1" applyFont="1" applyBorder="1" applyAlignment="1">
      <alignment/>
    </xf>
    <xf numFmtId="191" fontId="14" fillId="0" borderId="14" xfId="0" applyNumberFormat="1" applyFont="1" applyBorder="1" applyAlignment="1">
      <alignment/>
    </xf>
    <xf numFmtId="191" fontId="14" fillId="0" borderId="15" xfId="0" applyNumberFormat="1" applyFont="1" applyBorder="1" applyAlignment="1">
      <alignment/>
    </xf>
    <xf numFmtId="202" fontId="14" fillId="0" borderId="15" xfId="0" applyNumberFormat="1" applyFont="1" applyBorder="1" applyAlignment="1">
      <alignment/>
    </xf>
    <xf numFmtId="202" fontId="2" fillId="0" borderId="13" xfId="36" applyNumberFormat="1" applyFont="1" applyBorder="1" applyAlignment="1">
      <alignment horizontal="right"/>
    </xf>
    <xf numFmtId="202" fontId="2" fillId="0" borderId="15" xfId="36" applyNumberFormat="1" applyFont="1" applyBorder="1" applyAlignment="1" quotePrefix="1">
      <alignment horizontal="right"/>
    </xf>
    <xf numFmtId="191" fontId="2" fillId="33" borderId="15" xfId="36" applyNumberFormat="1" applyFont="1" applyFill="1" applyBorder="1" applyAlignment="1">
      <alignment horizontal="right"/>
    </xf>
    <xf numFmtId="221" fontId="2" fillId="0" borderId="13" xfId="36" applyNumberFormat="1" applyFont="1" applyBorder="1" applyAlignment="1" quotePrefix="1">
      <alignment horizontal="right"/>
    </xf>
    <xf numFmtId="221" fontId="2" fillId="33" borderId="13" xfId="36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8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3" fontId="13" fillId="0" borderId="16" xfId="36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9.140625" style="2" customWidth="1"/>
    <col min="2" max="2" width="34.8515625" style="2" customWidth="1"/>
    <col min="3" max="3" width="33.7109375" style="2" customWidth="1"/>
    <col min="4" max="16384" width="9.140625" style="2" customWidth="1"/>
  </cols>
  <sheetData>
    <row r="1" spans="1:3" ht="24">
      <c r="A1" s="162" t="s">
        <v>47</v>
      </c>
      <c r="B1" s="162"/>
      <c r="C1" s="162"/>
    </row>
    <row r="2" spans="1:3" ht="24">
      <c r="A2" s="162" t="s">
        <v>48</v>
      </c>
      <c r="B2" s="162"/>
      <c r="C2" s="162"/>
    </row>
    <row r="3" spans="1:3" ht="24">
      <c r="A3" s="161" t="s">
        <v>68</v>
      </c>
      <c r="B3" s="161"/>
      <c r="C3" s="161"/>
    </row>
    <row r="4" spans="1:3" ht="24">
      <c r="A4" s="3" t="s">
        <v>49</v>
      </c>
      <c r="B4" s="4"/>
      <c r="C4" s="4"/>
    </row>
    <row r="6" spans="2:3" ht="24">
      <c r="B6" s="5" t="s">
        <v>1</v>
      </c>
      <c r="C6" s="6" t="s">
        <v>2</v>
      </c>
    </row>
    <row r="7" spans="2:3" ht="24">
      <c r="B7" s="5" t="s">
        <v>3</v>
      </c>
      <c r="C7" s="7">
        <v>748849732.3</v>
      </c>
    </row>
    <row r="8" spans="2:3" ht="24">
      <c r="B8" s="5" t="s">
        <v>60</v>
      </c>
      <c r="C8" s="7">
        <v>422431013.27</v>
      </c>
    </row>
    <row r="9" spans="2:3" ht="24">
      <c r="B9" s="5" t="s">
        <v>46</v>
      </c>
      <c r="C9" s="7">
        <v>868329.21</v>
      </c>
    </row>
    <row r="10" spans="2:3" ht="24">
      <c r="B10" s="5" t="s">
        <v>57</v>
      </c>
      <c r="C10" s="89">
        <v>60445103.9</v>
      </c>
    </row>
    <row r="11" spans="2:3" ht="24.75" thickBot="1">
      <c r="B11" s="5" t="s">
        <v>4</v>
      </c>
      <c r="C11" s="87">
        <f>SUM(C7:C10)</f>
        <v>1232594178.68</v>
      </c>
    </row>
    <row r="12" spans="2:3" ht="25.5" thickBot="1" thickTop="1">
      <c r="B12" s="5" t="s">
        <v>5</v>
      </c>
      <c r="C12" s="88">
        <v>148826541.04</v>
      </c>
    </row>
    <row r="13" spans="2:3" ht="24.75" thickTop="1">
      <c r="B13" s="8"/>
      <c r="C13" s="8"/>
    </row>
  </sheetData>
  <sheetProtection/>
  <mergeCells count="3">
    <mergeCell ref="A3:C3"/>
    <mergeCell ref="A1:C1"/>
    <mergeCell ref="A2:C2"/>
  </mergeCells>
  <printOptions/>
  <pageMargins left="0.75" right="0.6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20"/>
  <sheetViews>
    <sheetView zoomScalePageLayoutView="0" workbookViewId="0" topLeftCell="A1">
      <selection activeCell="E18" sqref="D18:E18"/>
    </sheetView>
  </sheetViews>
  <sheetFormatPr defaultColWidth="9.140625" defaultRowHeight="12.75"/>
  <cols>
    <col min="1" max="1" width="36.7109375" style="8" customWidth="1"/>
    <col min="2" max="2" width="21.8515625" style="9" customWidth="1"/>
    <col min="3" max="3" width="20.7109375" style="9" customWidth="1"/>
    <col min="4" max="4" width="19.140625" style="9" customWidth="1"/>
    <col min="5" max="5" width="20.421875" style="9" customWidth="1"/>
    <col min="6" max="6" width="22.7109375" style="9" customWidth="1"/>
    <col min="7" max="10" width="9.140625" style="9" customWidth="1"/>
    <col min="11" max="16384" width="9.140625" style="8" customWidth="1"/>
  </cols>
  <sheetData>
    <row r="1" spans="1:5" ht="24">
      <c r="A1" s="161" t="s">
        <v>0</v>
      </c>
      <c r="B1" s="163"/>
      <c r="C1" s="163"/>
      <c r="D1" s="163"/>
      <c r="E1" s="163"/>
    </row>
    <row r="2" ht="24">
      <c r="A2" s="3" t="s">
        <v>127</v>
      </c>
    </row>
    <row r="3" ht="24">
      <c r="E3" s="10" t="s">
        <v>2</v>
      </c>
    </row>
    <row r="4" spans="1:5" ht="24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ht="24">
      <c r="A5" s="5" t="s">
        <v>50</v>
      </c>
      <c r="B5" s="90">
        <f>339498251.1-10571899.35-6355902.49</f>
        <v>322570449.26</v>
      </c>
      <c r="C5" s="90">
        <f>95316251.51-9167000-3359400-5332390</f>
        <v>77457461.51</v>
      </c>
      <c r="D5" s="90">
        <v>6355902.49</v>
      </c>
      <c r="E5" s="7">
        <f>SUM(B5:D5)</f>
        <v>406383813.26</v>
      </c>
    </row>
    <row r="6" spans="1:5" ht="24">
      <c r="A6" s="5" t="s">
        <v>51</v>
      </c>
      <c r="B6" s="90">
        <f>6419615.72-757040</f>
        <v>5662575.72</v>
      </c>
      <c r="C6" s="90">
        <f>20587612.05-9500</f>
        <v>20578112.05</v>
      </c>
      <c r="D6" s="90">
        <v>0</v>
      </c>
      <c r="E6" s="7">
        <f aca="true" t="shared" si="0" ref="E6:E12">SUM(B6:D6)</f>
        <v>26240687.77</v>
      </c>
    </row>
    <row r="7" spans="1:5" ht="24">
      <c r="A7" s="5" t="s">
        <v>52</v>
      </c>
      <c r="B7" s="90">
        <v>144360.45</v>
      </c>
      <c r="C7" s="90">
        <f>3832686.02-72940</f>
        <v>3759746.02</v>
      </c>
      <c r="D7" s="90">
        <v>0</v>
      </c>
      <c r="E7" s="7">
        <f t="shared" si="0"/>
        <v>3904106.47</v>
      </c>
    </row>
    <row r="8" spans="1:5" ht="24">
      <c r="A8" s="5" t="s">
        <v>61</v>
      </c>
      <c r="B8" s="90">
        <f>128295706.59-6419615.72-144360.45-3652608.18</f>
        <v>118079122.24</v>
      </c>
      <c r="C8" s="90">
        <f>214923161.39-20587612.05-3832686.02-648830-2406978.99-20155677.97-84835.86</f>
        <v>167206540.49999994</v>
      </c>
      <c r="D8" s="90">
        <v>0</v>
      </c>
      <c r="E8" s="7">
        <f t="shared" si="0"/>
        <v>285285662.73999995</v>
      </c>
    </row>
    <row r="9" spans="1:5" ht="24">
      <c r="A9" s="5" t="s">
        <v>54</v>
      </c>
      <c r="B9" s="90">
        <f>64080045.35-64669.88-23119.77-24379.25</f>
        <v>63967876.449999996</v>
      </c>
      <c r="C9" s="90">
        <f>89016715.34-2591623.78-298060.04-408800.32+84835.86</f>
        <v>85803067.06</v>
      </c>
      <c r="D9" s="90">
        <v>0</v>
      </c>
      <c r="E9" s="7">
        <f t="shared" si="0"/>
        <v>149770943.51</v>
      </c>
    </row>
    <row r="10" spans="1:5" ht="24">
      <c r="A10" s="5" t="s">
        <v>55</v>
      </c>
      <c r="B10" s="90">
        <f>2682600-1921600</f>
        <v>761000</v>
      </c>
      <c r="C10" s="90">
        <v>0</v>
      </c>
      <c r="D10" s="90">
        <v>0</v>
      </c>
      <c r="E10" s="7">
        <f t="shared" si="0"/>
        <v>761000</v>
      </c>
    </row>
    <row r="11" spans="1:5" ht="24">
      <c r="A11" s="5" t="s">
        <v>56</v>
      </c>
      <c r="B11" s="90">
        <v>5</v>
      </c>
      <c r="C11" s="90">
        <v>709421.3</v>
      </c>
      <c r="D11" s="90">
        <v>0</v>
      </c>
      <c r="E11" s="7">
        <f t="shared" si="0"/>
        <v>709426.3</v>
      </c>
    </row>
    <row r="12" spans="1:5" ht="24">
      <c r="A12" s="5" t="s">
        <v>10</v>
      </c>
      <c r="B12" s="7">
        <f>SUM(B5:B11)</f>
        <v>511185389.12</v>
      </c>
      <c r="C12" s="7">
        <f>SUM(C5:C11)</f>
        <v>355514348.43999994</v>
      </c>
      <c r="D12" s="7">
        <f>+D5</f>
        <v>6355902.49</v>
      </c>
      <c r="E12" s="7">
        <f t="shared" si="0"/>
        <v>873055640.05</v>
      </c>
    </row>
    <row r="14" ht="24">
      <c r="A14" s="3" t="s">
        <v>11</v>
      </c>
    </row>
    <row r="15" spans="1:3" ht="24">
      <c r="A15" s="8" t="s">
        <v>12</v>
      </c>
      <c r="C15" s="9">
        <v>1083767637.64</v>
      </c>
    </row>
    <row r="16" spans="1:2" ht="24">
      <c r="A16" s="3" t="s">
        <v>44</v>
      </c>
      <c r="B16" s="9">
        <v>149239500.06</v>
      </c>
    </row>
    <row r="17" spans="1:3" ht="24">
      <c r="A17" s="8" t="s">
        <v>13</v>
      </c>
      <c r="B17" s="9">
        <v>29375271.19</v>
      </c>
      <c r="C17" s="103"/>
    </row>
    <row r="18" spans="1:3" ht="24">
      <c r="A18" s="8" t="s">
        <v>69</v>
      </c>
      <c r="B18" s="9">
        <v>6169998.8</v>
      </c>
      <c r="C18" s="103"/>
    </row>
    <row r="19" spans="1:4" ht="24">
      <c r="A19" s="8" t="s">
        <v>70</v>
      </c>
      <c r="B19" s="13">
        <v>25927227.54</v>
      </c>
      <c r="C19" s="13">
        <f>+B16+B17+B18+B19</f>
        <v>210711997.59</v>
      </c>
      <c r="D19" s="103"/>
    </row>
    <row r="20" spans="1:4" ht="24.75" thickBot="1">
      <c r="A20" s="8" t="s">
        <v>14</v>
      </c>
      <c r="C20" s="14">
        <f>+C15-C19</f>
        <v>873055640.0500001</v>
      </c>
      <c r="D20" s="103"/>
    </row>
    <row r="21" ht="24.75" thickTop="1"/>
  </sheetData>
  <sheetProtection/>
  <mergeCells count="1">
    <mergeCell ref="A1:E1"/>
  </mergeCells>
  <printOptions horizontalCentered="1"/>
  <pageMargins left="0.7480314960629921" right="0.59" top="0.72" bottom="0.984251968503937" header="0.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5.140625" style="2" customWidth="1"/>
    <col min="2" max="2" width="15.140625" style="16" bestFit="1" customWidth="1"/>
    <col min="3" max="3" width="16.421875" style="16" bestFit="1" customWidth="1"/>
    <col min="4" max="4" width="12.421875" style="16" bestFit="1" customWidth="1"/>
    <col min="5" max="6" width="14.57421875" style="16" bestFit="1" customWidth="1"/>
    <col min="7" max="7" width="17.00390625" style="16" bestFit="1" customWidth="1"/>
    <col min="8" max="8" width="17.57421875" style="2" customWidth="1"/>
    <col min="9" max="9" width="18.7109375" style="2" customWidth="1"/>
    <col min="10" max="16384" width="9.140625" style="2" customWidth="1"/>
  </cols>
  <sheetData>
    <row r="1" spans="1:8" ht="24">
      <c r="A1" s="161" t="s">
        <v>0</v>
      </c>
      <c r="B1" s="161"/>
      <c r="C1" s="161"/>
      <c r="D1" s="161"/>
      <c r="E1" s="161"/>
      <c r="F1" s="161"/>
      <c r="G1" s="161"/>
      <c r="H1" s="161"/>
    </row>
    <row r="3" ht="21.75">
      <c r="A3" s="15" t="s">
        <v>71</v>
      </c>
    </row>
    <row r="5" spans="1:8" ht="21.75">
      <c r="A5" s="17" t="s">
        <v>29</v>
      </c>
      <c r="B5" s="18" t="s">
        <v>7</v>
      </c>
      <c r="C5" s="18" t="s">
        <v>8</v>
      </c>
      <c r="D5" s="18" t="s">
        <v>16</v>
      </c>
      <c r="E5" s="18" t="s">
        <v>17</v>
      </c>
      <c r="F5" s="17" t="s">
        <v>33</v>
      </c>
      <c r="G5" s="18" t="s">
        <v>18</v>
      </c>
      <c r="H5" s="17" t="s">
        <v>19</v>
      </c>
    </row>
    <row r="6" spans="1:9" ht="21.75">
      <c r="A6" s="19" t="s">
        <v>45</v>
      </c>
      <c r="B6" s="20">
        <v>207400994.77</v>
      </c>
      <c r="C6" s="20">
        <v>56362479.7</v>
      </c>
      <c r="D6" s="20">
        <f>6355902.49*120/132</f>
        <v>5778093.172727273</v>
      </c>
      <c r="E6" s="20">
        <v>80244210</v>
      </c>
      <c r="F6" s="78">
        <f>SUM(B6:E6)</f>
        <v>349785777.6427273</v>
      </c>
      <c r="G6" s="105" t="s">
        <v>72</v>
      </c>
      <c r="H6" s="78">
        <f>+F6/13766</f>
        <v>25409.398346849288</v>
      </c>
      <c r="I6" s="21"/>
    </row>
    <row r="7" spans="1:9" ht="21.75">
      <c r="A7" s="22" t="s">
        <v>76</v>
      </c>
      <c r="B7" s="23">
        <v>684120</v>
      </c>
      <c r="C7" s="23">
        <v>8581959.3</v>
      </c>
      <c r="D7" s="23">
        <v>0</v>
      </c>
      <c r="E7" s="23">
        <v>382083.83</v>
      </c>
      <c r="F7" s="78">
        <f aca="true" t="shared" si="0" ref="F7:F12">SUM(B7:E7)</f>
        <v>9648163.13</v>
      </c>
      <c r="G7" s="105" t="s">
        <v>73</v>
      </c>
      <c r="H7" s="24">
        <f>+F7/511</f>
        <v>18880.945459882583</v>
      </c>
      <c r="I7" s="25"/>
    </row>
    <row r="8" spans="1:9" ht="21.75">
      <c r="A8" s="22" t="s">
        <v>64</v>
      </c>
      <c r="B8" s="23">
        <f>9997953.24-D8</f>
        <v>9901651.687121212</v>
      </c>
      <c r="C8" s="23">
        <v>18937947.99</v>
      </c>
      <c r="D8" s="23">
        <f>6355902.49*2/132</f>
        <v>96301.55287878789</v>
      </c>
      <c r="E8" s="23">
        <v>371246.72</v>
      </c>
      <c r="F8" s="78">
        <f t="shared" si="0"/>
        <v>29307147.95</v>
      </c>
      <c r="G8" s="106" t="s">
        <v>75</v>
      </c>
      <c r="H8" s="24">
        <f>+F8/404</f>
        <v>72542.44542079208</v>
      </c>
      <c r="I8" s="25"/>
    </row>
    <row r="9" spans="1:9" ht="21.75">
      <c r="A9" s="22" t="s">
        <v>65</v>
      </c>
      <c r="B9" s="23">
        <f>381180+212868217.48-D9</f>
        <v>212864191.26848483</v>
      </c>
      <c r="C9" s="23">
        <v>176120686.15</v>
      </c>
      <c r="D9" s="23">
        <f>6355902.49*8/132</f>
        <v>385206.21151515155</v>
      </c>
      <c r="E9" s="23">
        <f>760241.97+65654958.59</f>
        <v>66415200.56</v>
      </c>
      <c r="F9" s="78">
        <f t="shared" si="0"/>
        <v>455785284.18999994</v>
      </c>
      <c r="G9" s="106" t="s">
        <v>112</v>
      </c>
      <c r="H9" s="24">
        <f>+F9/3336</f>
        <v>136626.28422961629</v>
      </c>
      <c r="I9" s="25"/>
    </row>
    <row r="10" spans="1:9" ht="21.75">
      <c r="A10" s="22" t="s">
        <v>66</v>
      </c>
      <c r="B10" s="23">
        <f>4865056.5-D10</f>
        <v>4816905.723560606</v>
      </c>
      <c r="C10" s="23">
        <v>2102176.1</v>
      </c>
      <c r="D10" s="23">
        <f>6355902.49*1/132</f>
        <v>48150.77643939394</v>
      </c>
      <c r="E10" s="23">
        <v>2193211.61</v>
      </c>
      <c r="F10" s="78">
        <f t="shared" si="0"/>
        <v>9160444.21</v>
      </c>
      <c r="G10" s="106" t="s">
        <v>93</v>
      </c>
      <c r="H10" s="24">
        <f>+F10/20</f>
        <v>458022.21050000004</v>
      </c>
      <c r="I10" s="25"/>
    </row>
    <row r="11" spans="1:9" ht="21.75">
      <c r="A11" s="26" t="s">
        <v>67</v>
      </c>
      <c r="B11" s="27">
        <f>11597800-D11</f>
        <v>11549649.223560605</v>
      </c>
      <c r="C11" s="27">
        <v>7606032.14</v>
      </c>
      <c r="D11" s="27">
        <f>6355902.49*1/132</f>
        <v>48150.77643939394</v>
      </c>
      <c r="E11" s="27">
        <v>164990.79</v>
      </c>
      <c r="F11" s="80">
        <f t="shared" si="0"/>
        <v>19368822.93</v>
      </c>
      <c r="G11" s="107" t="s">
        <v>74</v>
      </c>
      <c r="H11" s="80">
        <f>+F11/261</f>
        <v>74210.04954022988</v>
      </c>
      <c r="I11" s="25"/>
    </row>
    <row r="12" spans="1:9" ht="22.5" thickBot="1">
      <c r="A12" s="28" t="s">
        <v>10</v>
      </c>
      <c r="B12" s="29">
        <f>SUM(B6:B11)</f>
        <v>447217512.67272735</v>
      </c>
      <c r="C12" s="29">
        <f>SUM(C6:C11)</f>
        <v>269711281.38</v>
      </c>
      <c r="D12" s="29">
        <f>SUM(D6:D11)</f>
        <v>6355902.49</v>
      </c>
      <c r="E12" s="29">
        <f>SUM(E6:E11)</f>
        <v>149770943.51000002</v>
      </c>
      <c r="F12" s="79">
        <f t="shared" si="0"/>
        <v>873055640.0527273</v>
      </c>
      <c r="G12" s="104"/>
      <c r="H12" s="79"/>
      <c r="I12" s="25"/>
    </row>
    <row r="13" ht="22.5" thickTop="1"/>
    <row r="14" ht="21.75">
      <c r="A14" s="15"/>
    </row>
  </sheetData>
  <sheetProtection/>
  <mergeCells count="1">
    <mergeCell ref="A1:H1"/>
  </mergeCells>
  <printOptions/>
  <pageMargins left="0.5118110236220472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2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9.140625" defaultRowHeight="12.75"/>
  <cols>
    <col min="1" max="1" width="36.28125" style="2" customWidth="1"/>
    <col min="2" max="2" width="15.57421875" style="2" customWidth="1"/>
    <col min="3" max="3" width="14.8515625" style="2" customWidth="1"/>
    <col min="4" max="4" width="15.140625" style="2" customWidth="1"/>
    <col min="5" max="5" width="16.00390625" style="2" customWidth="1"/>
    <col min="6" max="6" width="17.00390625" style="2" customWidth="1"/>
    <col min="7" max="7" width="13.7109375" style="2" customWidth="1"/>
    <col min="8" max="8" width="15.00390625" style="2" customWidth="1"/>
    <col min="9" max="9" width="15.57421875" style="2" customWidth="1"/>
    <col min="10" max="10" width="13.7109375" style="2" customWidth="1"/>
    <col min="11" max="11" width="12.421875" style="2" bestFit="1" customWidth="1"/>
    <col min="12" max="12" width="10.00390625" style="2" bestFit="1" customWidth="1"/>
    <col min="13" max="16384" width="9.140625" style="2" customWidth="1"/>
  </cols>
  <sheetData>
    <row r="1" spans="1:8" ht="21.75">
      <c r="A1" s="164" t="s">
        <v>0</v>
      </c>
      <c r="B1" s="164"/>
      <c r="C1" s="164"/>
      <c r="D1" s="164"/>
      <c r="E1" s="164"/>
      <c r="F1" s="164"/>
      <c r="G1" s="164"/>
      <c r="H1" s="164"/>
    </row>
    <row r="3" ht="21.75">
      <c r="A3" s="15" t="s">
        <v>77</v>
      </c>
    </row>
    <row r="5" spans="1:8" s="31" customFormat="1" ht="21.75">
      <c r="A5" s="30" t="s">
        <v>15</v>
      </c>
      <c r="B5" s="30" t="s">
        <v>7</v>
      </c>
      <c r="C5" s="30" t="s">
        <v>8</v>
      </c>
      <c r="D5" s="30" t="s">
        <v>16</v>
      </c>
      <c r="E5" s="30" t="s">
        <v>17</v>
      </c>
      <c r="F5" s="30" t="s">
        <v>33</v>
      </c>
      <c r="G5" s="30" t="s">
        <v>18</v>
      </c>
      <c r="H5" s="30" t="s">
        <v>19</v>
      </c>
    </row>
    <row r="6" spans="1:8" s="52" customFormat="1" ht="23.25">
      <c r="A6" s="51" t="s">
        <v>20</v>
      </c>
      <c r="B6" s="51"/>
      <c r="C6" s="51"/>
      <c r="D6" s="51"/>
      <c r="E6" s="51"/>
      <c r="F6" s="51"/>
      <c r="G6" s="51"/>
      <c r="H6" s="51"/>
    </row>
    <row r="7" spans="1:11" s="57" customFormat="1" ht="23.25">
      <c r="A7" s="152" t="s">
        <v>21</v>
      </c>
      <c r="B7" s="83">
        <v>63446876.05</v>
      </c>
      <c r="C7" s="83">
        <v>36010516.1</v>
      </c>
      <c r="D7" s="53">
        <f>6355902.49*14/132+85346.43</f>
        <v>759457.300151515</v>
      </c>
      <c r="E7" s="53">
        <v>22177167.07</v>
      </c>
      <c r="F7" s="54">
        <f aca="true" t="shared" si="0" ref="F7:F14">SUM(B7:E7)</f>
        <v>122394016.52015153</v>
      </c>
      <c r="G7" s="81" t="s">
        <v>78</v>
      </c>
      <c r="H7" s="84">
        <v>50161.48</v>
      </c>
      <c r="I7" s="54"/>
      <c r="K7" s="54"/>
    </row>
    <row r="8" spans="1:11" s="57" customFormat="1" ht="23.25">
      <c r="A8" s="152" t="s">
        <v>22</v>
      </c>
      <c r="B8" s="83">
        <v>46912393.35</v>
      </c>
      <c r="C8" s="83">
        <v>42764156.59</v>
      </c>
      <c r="D8" s="65">
        <f>6355902.49*24/132+141381.26</f>
        <v>1296999.8945454545</v>
      </c>
      <c r="E8" s="53">
        <v>15682492.52</v>
      </c>
      <c r="F8" s="54">
        <f t="shared" si="0"/>
        <v>106656042.35454544</v>
      </c>
      <c r="G8" s="81" t="s">
        <v>79</v>
      </c>
      <c r="H8" s="84">
        <v>26386.95</v>
      </c>
      <c r="I8" s="54"/>
      <c r="K8" s="54"/>
    </row>
    <row r="9" spans="1:11" s="57" customFormat="1" ht="23.25">
      <c r="A9" s="152" t="s">
        <v>23</v>
      </c>
      <c r="B9" s="83">
        <v>91898737.11</v>
      </c>
      <c r="C9" s="53">
        <v>53880593.64</v>
      </c>
      <c r="D9" s="65">
        <f>6355902.49*25/132+139912.18</f>
        <v>1343681.5909848483</v>
      </c>
      <c r="E9" s="53">
        <v>42415246.9</v>
      </c>
      <c r="F9" s="54">
        <f t="shared" si="0"/>
        <v>189538259.24098486</v>
      </c>
      <c r="G9" s="81" t="s">
        <v>80</v>
      </c>
      <c r="H9" s="84">
        <v>47384.56</v>
      </c>
      <c r="I9" s="54"/>
      <c r="K9" s="54"/>
    </row>
    <row r="10" spans="1:11" s="57" customFormat="1" ht="23.25">
      <c r="A10" s="152" t="s">
        <v>24</v>
      </c>
      <c r="B10" s="83">
        <v>109633550.76</v>
      </c>
      <c r="C10" s="53">
        <v>49017641.4</v>
      </c>
      <c r="D10" s="65">
        <f>6355902.49*24/132+66808.06</f>
        <v>1222426.6945454546</v>
      </c>
      <c r="E10" s="53">
        <v>30469557.19</v>
      </c>
      <c r="F10" s="54">
        <f t="shared" si="0"/>
        <v>190343176.04454544</v>
      </c>
      <c r="G10" s="81" t="s">
        <v>81</v>
      </c>
      <c r="H10" s="84">
        <v>99656.11</v>
      </c>
      <c r="I10" s="54"/>
      <c r="K10" s="54"/>
    </row>
    <row r="11" spans="1:11" s="57" customFormat="1" ht="23.25">
      <c r="A11" s="152" t="s">
        <v>25</v>
      </c>
      <c r="B11" s="53">
        <v>74168085.14</v>
      </c>
      <c r="C11" s="53">
        <v>37467463.68</v>
      </c>
      <c r="D11" s="65">
        <f>6355902.49*33/132+48059.83</f>
        <v>1637035.4525000001</v>
      </c>
      <c r="E11" s="53">
        <v>23848753.77</v>
      </c>
      <c r="F11" s="54">
        <f t="shared" si="0"/>
        <v>137121338.0425</v>
      </c>
      <c r="G11" s="81" t="s">
        <v>82</v>
      </c>
      <c r="H11" s="84">
        <v>99797.19</v>
      </c>
      <c r="I11" s="54"/>
      <c r="K11" s="54"/>
    </row>
    <row r="12" spans="1:11" s="57" customFormat="1" ht="23.25">
      <c r="A12" s="152" t="s">
        <v>88</v>
      </c>
      <c r="B12" s="53">
        <v>17420294.91</v>
      </c>
      <c r="C12" s="53">
        <v>21616605.63</v>
      </c>
      <c r="D12" s="65"/>
      <c r="E12" s="53">
        <v>5162764.02</v>
      </c>
      <c r="F12" s="54">
        <f t="shared" si="0"/>
        <v>44199664.56</v>
      </c>
      <c r="G12" s="55" t="s">
        <v>102</v>
      </c>
      <c r="H12" s="84">
        <v>86496.41</v>
      </c>
      <c r="I12" s="54"/>
      <c r="K12" s="54"/>
    </row>
    <row r="13" spans="1:9" s="57" customFormat="1" ht="23.25">
      <c r="A13" s="152" t="s">
        <v>62</v>
      </c>
      <c r="B13" s="53">
        <v>11646883.2</v>
      </c>
      <c r="C13" s="53">
        <v>6904715.46</v>
      </c>
      <c r="D13" s="65">
        <f>6355902.49*1/132</f>
        <v>48150.77643939394</v>
      </c>
      <c r="E13" s="53">
        <v>4103827.11</v>
      </c>
      <c r="F13" s="54">
        <f t="shared" si="0"/>
        <v>22703576.546439394</v>
      </c>
      <c r="G13" s="85" t="s">
        <v>93</v>
      </c>
      <c r="H13" s="56">
        <f>+F13/20</f>
        <v>1135178.8273219697</v>
      </c>
      <c r="I13" s="54"/>
    </row>
    <row r="14" spans="1:9" s="57" customFormat="1" ht="23.25">
      <c r="A14" s="153" t="s">
        <v>63</v>
      </c>
      <c r="B14" s="58">
        <v>32090692.15</v>
      </c>
      <c r="C14" s="58">
        <v>22049588.88</v>
      </c>
      <c r="D14" s="65">
        <f>6355902.49*1/132</f>
        <v>48150.77643939394</v>
      </c>
      <c r="E14" s="58">
        <v>5911134.93</v>
      </c>
      <c r="F14" s="59">
        <f t="shared" si="0"/>
        <v>60099566.73643939</v>
      </c>
      <c r="G14" s="91" t="s">
        <v>74</v>
      </c>
      <c r="H14" s="60">
        <f>+F14/261</f>
        <v>230266.5392200743</v>
      </c>
      <c r="I14" s="82"/>
    </row>
    <row r="15" spans="1:8" s="64" customFormat="1" ht="24" thickBot="1">
      <c r="A15" s="61" t="s">
        <v>10</v>
      </c>
      <c r="B15" s="62">
        <f>SUM(B7:B14)</f>
        <v>447217512.66999996</v>
      </c>
      <c r="C15" s="62">
        <f>SUM(C7:C14)</f>
        <v>269711281.38</v>
      </c>
      <c r="D15" s="62">
        <f>SUM(D7:D14)</f>
        <v>6355902.485606059</v>
      </c>
      <c r="E15" s="62">
        <f>SUM(E7:E14)</f>
        <v>149770943.51000005</v>
      </c>
      <c r="F15" s="62">
        <f>SUM(F7:F14)</f>
        <v>873055640.045606</v>
      </c>
      <c r="G15" s="63"/>
      <c r="H15" s="63"/>
    </row>
    <row r="16" ht="22.5" thickTop="1">
      <c r="K16" s="25"/>
    </row>
    <row r="17" s="47" customFormat="1" ht="21.75"/>
    <row r="18" s="47" customFormat="1" ht="21.75">
      <c r="J18" s="108"/>
    </row>
    <row r="19" spans="2:12" s="47" customFormat="1" ht="21.75">
      <c r="B19" s="21"/>
      <c r="C19" s="21"/>
      <c r="J19" s="21"/>
      <c r="K19" s="50"/>
      <c r="L19" s="21"/>
    </row>
    <row r="20" spans="2:3" s="47" customFormat="1" ht="21.75">
      <c r="B20" s="21"/>
      <c r="C20" s="21"/>
    </row>
    <row r="21" spans="2:3" s="47" customFormat="1" ht="21.75">
      <c r="B21" s="50"/>
      <c r="C21" s="50"/>
    </row>
    <row r="22" spans="2:3" s="47" customFormat="1" ht="21.75">
      <c r="B22" s="50"/>
      <c r="C22" s="50"/>
    </row>
    <row r="23" spans="2:3" s="47" customFormat="1" ht="21.75">
      <c r="B23" s="50"/>
      <c r="C23" s="50"/>
    </row>
    <row r="24" spans="2:3" ht="21.75">
      <c r="B24" s="16"/>
      <c r="C24" s="16"/>
    </row>
    <row r="25" spans="2:3" ht="21.75">
      <c r="B25" s="16"/>
      <c r="C25" s="16"/>
    </row>
    <row r="26" spans="2:3" ht="21.75">
      <c r="B26" s="16"/>
      <c r="C26" s="16"/>
    </row>
    <row r="27" spans="2:3" ht="21.75">
      <c r="B27" s="16"/>
      <c r="C27" s="16"/>
    </row>
  </sheetData>
  <sheetProtection/>
  <mergeCells count="1">
    <mergeCell ref="A1:H1"/>
  </mergeCells>
  <printOptions/>
  <pageMargins left="0.4724409448818898" right="0.1968503937007874" top="0.984251968503937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36.57421875" style="2" customWidth="1"/>
    <col min="2" max="2" width="31.57421875" style="2" customWidth="1"/>
    <col min="3" max="3" width="29.57421875" style="8" customWidth="1"/>
    <col min="4" max="4" width="26.28125" style="2" customWidth="1"/>
    <col min="5" max="16384" width="9.140625" style="2" customWidth="1"/>
  </cols>
  <sheetData>
    <row r="1" spans="1:8" ht="24">
      <c r="A1" s="161" t="s">
        <v>0</v>
      </c>
      <c r="B1" s="161"/>
      <c r="C1" s="161"/>
      <c r="D1" s="161"/>
      <c r="E1" s="1"/>
      <c r="F1" s="1"/>
      <c r="G1" s="1"/>
      <c r="H1" s="1"/>
    </row>
    <row r="2" spans="1:8" ht="24">
      <c r="A2" s="1"/>
      <c r="B2" s="1"/>
      <c r="C2" s="1"/>
      <c r="D2" s="1"/>
      <c r="E2" s="1"/>
      <c r="F2" s="1"/>
      <c r="G2" s="1"/>
      <c r="H2" s="1"/>
    </row>
    <row r="3" s="4" customFormat="1" ht="24">
      <c r="A3" s="3" t="s">
        <v>83</v>
      </c>
    </row>
    <row r="6" spans="1:4" s="8" customFormat="1" ht="24">
      <c r="A6" s="11" t="s">
        <v>1</v>
      </c>
      <c r="B6" s="12" t="s">
        <v>84</v>
      </c>
      <c r="C6" s="12" t="s">
        <v>85</v>
      </c>
      <c r="D6" s="12" t="s">
        <v>27</v>
      </c>
    </row>
    <row r="7" spans="1:4" ht="24">
      <c r="A7" s="92" t="s">
        <v>3</v>
      </c>
      <c r="B7" s="33">
        <v>748849732.3</v>
      </c>
      <c r="C7" s="33">
        <v>798473587.98</v>
      </c>
      <c r="D7" s="72">
        <f aca="true" t="shared" si="0" ref="D7:D12">(B7-C7)/C7*100</f>
        <v>-6.214839968036993</v>
      </c>
    </row>
    <row r="8" spans="1:4" ht="24">
      <c r="A8" s="34" t="s">
        <v>60</v>
      </c>
      <c r="B8" s="35">
        <v>422431013.27</v>
      </c>
      <c r="C8" s="35">
        <v>467557378.83</v>
      </c>
      <c r="D8" s="72">
        <f t="shared" si="0"/>
        <v>-9.651513932455245</v>
      </c>
    </row>
    <row r="9" spans="1:4" ht="24">
      <c r="A9" s="34" t="s">
        <v>46</v>
      </c>
      <c r="B9" s="35">
        <v>868329.21</v>
      </c>
      <c r="C9" s="35">
        <v>816650.71</v>
      </c>
      <c r="D9" s="72">
        <f t="shared" si="0"/>
        <v>6.328103235225253</v>
      </c>
    </row>
    <row r="10" spans="1:4" ht="24">
      <c r="A10" s="34" t="s">
        <v>57</v>
      </c>
      <c r="B10" s="35">
        <v>60445103.9</v>
      </c>
      <c r="C10" s="35">
        <v>30327393.42</v>
      </c>
      <c r="D10" s="72">
        <f t="shared" si="0"/>
        <v>99.30860217000475</v>
      </c>
    </row>
    <row r="11" spans="1:4" ht="24.75" thickBot="1">
      <c r="A11" s="93" t="s">
        <v>4</v>
      </c>
      <c r="B11" s="94">
        <f>SUM(B7:B10)</f>
        <v>1232594178.68</v>
      </c>
      <c r="C11" s="94">
        <f>SUM(C7:C10)</f>
        <v>1297175010.94</v>
      </c>
      <c r="D11" s="72">
        <f t="shared" si="0"/>
        <v>-4.978575112482423</v>
      </c>
    </row>
    <row r="12" spans="1:4" ht="24.75" thickBot="1">
      <c r="A12" s="95" t="s">
        <v>5</v>
      </c>
      <c r="B12" s="96">
        <v>148826541.04</v>
      </c>
      <c r="C12" s="96">
        <v>188407216.24</v>
      </c>
      <c r="D12" s="97">
        <f t="shared" si="0"/>
        <v>-21.008046289257152</v>
      </c>
    </row>
    <row r="14" s="8" customFormat="1" ht="24">
      <c r="A14" s="4" t="s">
        <v>28</v>
      </c>
    </row>
    <row r="15" spans="1:4" s="8" customFormat="1" ht="24">
      <c r="A15" s="2" t="s">
        <v>114</v>
      </c>
      <c r="B15" s="2"/>
      <c r="C15" s="2"/>
      <c r="D15" s="2"/>
    </row>
    <row r="16" spans="1:4" s="75" customFormat="1" ht="23.25">
      <c r="A16" s="101" t="s">
        <v>115</v>
      </c>
      <c r="D16" s="2"/>
    </row>
    <row r="17" spans="1:4" s="75" customFormat="1" ht="23.25">
      <c r="A17" s="98"/>
      <c r="B17" s="2"/>
      <c r="C17" s="2"/>
      <c r="D17" s="2"/>
    </row>
    <row r="18" spans="1:4" s="75" customFormat="1" ht="23.25">
      <c r="A18" s="98"/>
      <c r="B18" s="2"/>
      <c r="C18" s="2"/>
      <c r="D18" s="2"/>
    </row>
    <row r="19" s="75" customFormat="1" ht="23.25"/>
    <row r="20" s="8" customFormat="1" ht="24"/>
    <row r="21" s="8" customFormat="1" ht="24"/>
  </sheetData>
  <sheetProtection/>
  <mergeCells count="1">
    <mergeCell ref="A1:D1"/>
  </mergeCells>
  <printOptions/>
  <pageMargins left="1" right="0.5905511811023623" top="0.71" bottom="0.65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4.8515625" style="2" customWidth="1"/>
    <col min="2" max="2" width="18.7109375" style="2" customWidth="1"/>
    <col min="3" max="3" width="16.8515625" style="2" customWidth="1"/>
    <col min="4" max="4" width="16.57421875" style="2" bestFit="1" customWidth="1"/>
    <col min="5" max="5" width="16.57421875" style="2" customWidth="1"/>
    <col min="6" max="6" width="16.421875" style="2" customWidth="1"/>
    <col min="7" max="7" width="18.00390625" style="2" customWidth="1"/>
    <col min="8" max="8" width="16.28125" style="2" customWidth="1"/>
    <col min="9" max="9" width="17.57421875" style="2" customWidth="1"/>
    <col min="10" max="10" width="12.421875" style="2" customWidth="1"/>
    <col min="11" max="16384" width="9.140625" style="2" customWidth="1"/>
  </cols>
  <sheetData>
    <row r="1" spans="1:9" ht="24">
      <c r="A1" s="161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4" ht="24">
      <c r="A2" s="8"/>
      <c r="B2" s="8"/>
      <c r="C2" s="8"/>
      <c r="D2" s="8"/>
    </row>
    <row r="3" s="8" customFormat="1" ht="24">
      <c r="A3" s="8" t="s">
        <v>126</v>
      </c>
    </row>
    <row r="5" spans="1:10" s="36" customFormat="1" ht="19.5">
      <c r="A5" s="167" t="s">
        <v>6</v>
      </c>
      <c r="B5" s="167" t="s">
        <v>86</v>
      </c>
      <c r="C5" s="167"/>
      <c r="D5" s="167"/>
      <c r="E5" s="167"/>
      <c r="F5" s="167" t="s">
        <v>87</v>
      </c>
      <c r="G5" s="167"/>
      <c r="H5" s="167"/>
      <c r="I5" s="167"/>
      <c r="J5" s="165" t="s">
        <v>27</v>
      </c>
    </row>
    <row r="6" spans="1:10" s="36" customFormat="1" ht="19.5">
      <c r="A6" s="167"/>
      <c r="B6" s="37" t="s">
        <v>7</v>
      </c>
      <c r="C6" s="37" t="s">
        <v>8</v>
      </c>
      <c r="D6" s="37" t="s">
        <v>16</v>
      </c>
      <c r="E6" s="37" t="s">
        <v>10</v>
      </c>
      <c r="F6" s="37" t="s">
        <v>7</v>
      </c>
      <c r="G6" s="37" t="s">
        <v>8</v>
      </c>
      <c r="H6" s="37" t="s">
        <v>16</v>
      </c>
      <c r="I6" s="37" t="s">
        <v>10</v>
      </c>
      <c r="J6" s="166"/>
    </row>
    <row r="7" spans="1:10" s="38" customFormat="1" ht="21.75">
      <c r="A7" s="48" t="s">
        <v>58</v>
      </c>
      <c r="B7" s="49">
        <v>322570449.26</v>
      </c>
      <c r="C7" s="49">
        <v>77457461.51</v>
      </c>
      <c r="D7" s="49">
        <v>6355902.49</v>
      </c>
      <c r="E7" s="49">
        <f>SUM(B7:D7)</f>
        <v>406383813.26</v>
      </c>
      <c r="F7" s="49">
        <v>333373056.11</v>
      </c>
      <c r="G7" s="49">
        <v>75188712.04</v>
      </c>
      <c r="H7" s="49">
        <v>8947842.22</v>
      </c>
      <c r="I7" s="49">
        <f aca="true" t="shared" si="0" ref="I7:I13">SUM(F7:H7)</f>
        <v>417509610.37000006</v>
      </c>
      <c r="J7" s="76">
        <f>(E7-I7)/I7*100</f>
        <v>-2.664800242595688</v>
      </c>
    </row>
    <row r="8" spans="1:10" s="38" customFormat="1" ht="21.75">
      <c r="A8" s="48" t="s">
        <v>51</v>
      </c>
      <c r="B8" s="49">
        <v>5662575.72</v>
      </c>
      <c r="C8" s="49">
        <v>20578112.05</v>
      </c>
      <c r="D8" s="49">
        <v>0</v>
      </c>
      <c r="E8" s="49">
        <f aca="true" t="shared" si="1" ref="E8:E14">SUM(B8:D8)</f>
        <v>26240687.77</v>
      </c>
      <c r="F8" s="49">
        <v>6176562.25</v>
      </c>
      <c r="G8" s="49">
        <v>20687647.63</v>
      </c>
      <c r="H8" s="49">
        <v>0</v>
      </c>
      <c r="I8" s="49">
        <f>SUM(F8:H8)</f>
        <v>26864209.88</v>
      </c>
      <c r="J8" s="76">
        <f aca="true" t="shared" si="2" ref="J8:J14">(E8-I8)/I8*100</f>
        <v>-2.3210141403198397</v>
      </c>
    </row>
    <row r="9" spans="1:10" s="38" customFormat="1" ht="21.75">
      <c r="A9" s="48" t="s">
        <v>52</v>
      </c>
      <c r="B9" s="49">
        <v>144360.45</v>
      </c>
      <c r="C9" s="49">
        <v>3759746.02</v>
      </c>
      <c r="D9" s="49">
        <v>0</v>
      </c>
      <c r="E9" s="49">
        <f t="shared" si="1"/>
        <v>3904106.47</v>
      </c>
      <c r="F9" s="49">
        <v>1437257.35</v>
      </c>
      <c r="G9" s="49">
        <v>6500852.88</v>
      </c>
      <c r="H9" s="49">
        <v>0</v>
      </c>
      <c r="I9" s="49">
        <f>SUM(F9:H9)</f>
        <v>7938110.23</v>
      </c>
      <c r="J9" s="76">
        <f t="shared" si="2"/>
        <v>-50.81818774391094</v>
      </c>
    </row>
    <row r="10" spans="1:10" s="38" customFormat="1" ht="21.75">
      <c r="A10" s="48" t="s">
        <v>53</v>
      </c>
      <c r="B10" s="49">
        <v>118079122.24</v>
      </c>
      <c r="C10" s="49">
        <v>167206540.5</v>
      </c>
      <c r="D10" s="49">
        <v>0</v>
      </c>
      <c r="E10" s="49">
        <f t="shared" si="1"/>
        <v>285285662.74</v>
      </c>
      <c r="F10" s="49">
        <v>155491242.25</v>
      </c>
      <c r="G10" s="49">
        <v>153149169.58</v>
      </c>
      <c r="H10" s="49">
        <v>0</v>
      </c>
      <c r="I10" s="49">
        <v>238081417</v>
      </c>
      <c r="J10" s="76">
        <f t="shared" si="2"/>
        <v>19.826934136568923</v>
      </c>
    </row>
    <row r="11" spans="1:10" s="38" customFormat="1" ht="21.75">
      <c r="A11" s="48" t="s">
        <v>54</v>
      </c>
      <c r="B11" s="49">
        <v>63967876.45</v>
      </c>
      <c r="C11" s="49">
        <v>85803067.06</v>
      </c>
      <c r="D11" s="49">
        <v>0</v>
      </c>
      <c r="E11" s="49">
        <f t="shared" si="1"/>
        <v>149770943.51</v>
      </c>
      <c r="F11" s="49">
        <v>50397818.26</v>
      </c>
      <c r="G11" s="49">
        <v>79023878.69</v>
      </c>
      <c r="H11" s="49">
        <v>0</v>
      </c>
      <c r="I11" s="49">
        <f>+F11+G11+H11</f>
        <v>129421696.94999999</v>
      </c>
      <c r="J11" s="76">
        <f t="shared" si="2"/>
        <v>15.723211053137105</v>
      </c>
    </row>
    <row r="12" spans="1:10" s="38" customFormat="1" ht="21.75">
      <c r="A12" s="48" t="s">
        <v>55</v>
      </c>
      <c r="B12" s="49">
        <v>761000</v>
      </c>
      <c r="C12" s="49">
        <v>0</v>
      </c>
      <c r="D12" s="49">
        <v>0</v>
      </c>
      <c r="E12" s="49">
        <f t="shared" si="1"/>
        <v>761000</v>
      </c>
      <c r="F12" s="49">
        <v>1146500</v>
      </c>
      <c r="G12" s="49">
        <v>0</v>
      </c>
      <c r="H12" s="49">
        <v>0</v>
      </c>
      <c r="I12" s="49">
        <f t="shared" si="0"/>
        <v>1146500</v>
      </c>
      <c r="J12" s="76">
        <f t="shared" si="2"/>
        <v>-33.62407326646315</v>
      </c>
    </row>
    <row r="13" spans="1:10" s="38" customFormat="1" ht="21.75">
      <c r="A13" s="48" t="s">
        <v>59</v>
      </c>
      <c r="B13" s="49">
        <v>5</v>
      </c>
      <c r="C13" s="49">
        <v>709421.3</v>
      </c>
      <c r="D13" s="49">
        <v>0</v>
      </c>
      <c r="E13" s="49">
        <f t="shared" si="1"/>
        <v>709426.3</v>
      </c>
      <c r="F13" s="49">
        <v>7880.87</v>
      </c>
      <c r="G13" s="49">
        <v>53923.8</v>
      </c>
      <c r="H13" s="49">
        <v>0</v>
      </c>
      <c r="I13" s="49">
        <f t="shared" si="0"/>
        <v>61804.670000000006</v>
      </c>
      <c r="J13" s="76">
        <f t="shared" si="2"/>
        <v>1047.852257766282</v>
      </c>
    </row>
    <row r="14" spans="1:10" s="38" customFormat="1" ht="21.75">
      <c r="A14" s="48" t="s">
        <v>10</v>
      </c>
      <c r="B14" s="49">
        <f>SUM(B7:B13)</f>
        <v>511185389.12</v>
      </c>
      <c r="C14" s="49">
        <f>SUM(C7:C13)</f>
        <v>355514348.44</v>
      </c>
      <c r="D14" s="49">
        <f>SUM(D7:D13)</f>
        <v>6355902.49</v>
      </c>
      <c r="E14" s="49">
        <f t="shared" si="1"/>
        <v>873055640.05</v>
      </c>
      <c r="F14" s="49">
        <f>SUM(F7:F13)</f>
        <v>548030317.09</v>
      </c>
      <c r="G14" s="49">
        <f>SUM(G7:G13)</f>
        <v>334604184.62</v>
      </c>
      <c r="H14" s="49">
        <f>SUM(H7:H13)</f>
        <v>8947842.22</v>
      </c>
      <c r="I14" s="49">
        <f>SUM(I7:I13)</f>
        <v>821023349.1</v>
      </c>
      <c r="J14" s="71">
        <f t="shared" si="2"/>
        <v>6.337492229305945</v>
      </c>
    </row>
    <row r="15" ht="21.75">
      <c r="E15" s="25"/>
    </row>
    <row r="16" ht="24">
      <c r="A16" s="4" t="s">
        <v>43</v>
      </c>
    </row>
    <row r="17" s="86" customFormat="1" ht="24">
      <c r="A17" s="77" t="s">
        <v>124</v>
      </c>
    </row>
    <row r="18" spans="1:4" s="77" customFormat="1" ht="24">
      <c r="A18" s="77" t="s">
        <v>111</v>
      </c>
      <c r="B18" s="86"/>
      <c r="C18" s="86"/>
      <c r="D18" s="86"/>
    </row>
    <row r="19" s="86" customFormat="1" ht="24">
      <c r="A19" s="77" t="s">
        <v>125</v>
      </c>
    </row>
    <row r="20" s="8" customFormat="1" ht="24">
      <c r="A20" s="2"/>
    </row>
    <row r="21" s="8" customFormat="1" ht="24"/>
  </sheetData>
  <sheetProtection/>
  <mergeCells count="5">
    <mergeCell ref="A1:I1"/>
    <mergeCell ref="J5:J6"/>
    <mergeCell ref="B5:E5"/>
    <mergeCell ref="F5:I5"/>
    <mergeCell ref="A5:A6"/>
  </mergeCells>
  <printOptions horizontalCentered="1"/>
  <pageMargins left="0.43" right="0.23" top="0.93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9.57421875" style="109" customWidth="1"/>
    <col min="2" max="2" width="14.7109375" style="109" customWidth="1"/>
    <col min="3" max="3" width="12.57421875" style="109" customWidth="1"/>
    <col min="4" max="4" width="11.8515625" style="109" customWidth="1"/>
    <col min="5" max="6" width="13.00390625" style="109" customWidth="1"/>
    <col min="7" max="7" width="14.7109375" style="109" customWidth="1"/>
    <col min="8" max="8" width="13.57421875" style="109" customWidth="1"/>
    <col min="9" max="9" width="12.57421875" style="109" bestFit="1" customWidth="1"/>
    <col min="10" max="10" width="14.28125" style="109" customWidth="1"/>
    <col min="11" max="11" width="12.28125" style="109" customWidth="1"/>
    <col min="12" max="13" width="12.7109375" style="109" customWidth="1"/>
    <col min="14" max="14" width="14.57421875" style="109" customWidth="1"/>
    <col min="15" max="15" width="10.140625" style="109" bestFit="1" customWidth="1"/>
    <col min="16" max="16" width="9.421875" style="109" customWidth="1"/>
    <col min="17" max="17" width="9.28125" style="109" customWidth="1"/>
    <col min="18" max="18" width="9.7109375" style="109" customWidth="1"/>
    <col min="19" max="16384" width="9.140625" style="109" customWidth="1"/>
  </cols>
  <sheetData>
    <row r="1" spans="1:18" ht="24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5" ht="24">
      <c r="A2" s="39" t="s">
        <v>128</v>
      </c>
      <c r="B2" s="8"/>
      <c r="C2" s="8"/>
      <c r="D2" s="8"/>
      <c r="E2" s="8"/>
    </row>
    <row r="3" ht="18.75">
      <c r="A3" s="110"/>
    </row>
    <row r="4" spans="1:18" s="113" customFormat="1" ht="18.75">
      <c r="A4" s="168" t="s">
        <v>29</v>
      </c>
      <c r="B4" s="170" t="s">
        <v>86</v>
      </c>
      <c r="C4" s="171"/>
      <c r="D4" s="171"/>
      <c r="E4" s="171"/>
      <c r="F4" s="171"/>
      <c r="G4" s="171"/>
      <c r="H4" s="172"/>
      <c r="I4" s="170" t="s">
        <v>87</v>
      </c>
      <c r="J4" s="171"/>
      <c r="K4" s="171"/>
      <c r="L4" s="171"/>
      <c r="M4" s="171"/>
      <c r="N4" s="171"/>
      <c r="O4" s="172"/>
      <c r="P4" s="111"/>
      <c r="Q4" s="112"/>
      <c r="R4" s="112"/>
    </row>
    <row r="5" spans="1:18" ht="18.75">
      <c r="A5" s="173"/>
      <c r="B5" s="155" t="s">
        <v>30</v>
      </c>
      <c r="C5" s="156" t="s">
        <v>31</v>
      </c>
      <c r="D5" s="168" t="s">
        <v>16</v>
      </c>
      <c r="E5" s="156" t="s">
        <v>32</v>
      </c>
      <c r="F5" s="168" t="s">
        <v>33</v>
      </c>
      <c r="G5" s="168" t="s">
        <v>18</v>
      </c>
      <c r="H5" s="168" t="s">
        <v>19</v>
      </c>
      <c r="I5" s="155" t="s">
        <v>30</v>
      </c>
      <c r="J5" s="156" t="s">
        <v>31</v>
      </c>
      <c r="K5" s="168" t="s">
        <v>16</v>
      </c>
      <c r="L5" s="156" t="s">
        <v>32</v>
      </c>
      <c r="M5" s="168" t="s">
        <v>33</v>
      </c>
      <c r="N5" s="168" t="s">
        <v>18</v>
      </c>
      <c r="O5" s="168" t="s">
        <v>19</v>
      </c>
      <c r="P5" s="114" t="s">
        <v>33</v>
      </c>
      <c r="Q5" s="114" t="s">
        <v>18</v>
      </c>
      <c r="R5" s="114" t="s">
        <v>19</v>
      </c>
    </row>
    <row r="6" spans="1:18" ht="18.75">
      <c r="A6" s="169"/>
      <c r="B6" s="157" t="s">
        <v>35</v>
      </c>
      <c r="C6" s="158" t="s">
        <v>35</v>
      </c>
      <c r="D6" s="169"/>
      <c r="E6" s="158" t="s">
        <v>36</v>
      </c>
      <c r="F6" s="169"/>
      <c r="G6" s="169"/>
      <c r="H6" s="169"/>
      <c r="I6" s="157" t="s">
        <v>35</v>
      </c>
      <c r="J6" s="158" t="s">
        <v>35</v>
      </c>
      <c r="K6" s="169"/>
      <c r="L6" s="158" t="s">
        <v>36</v>
      </c>
      <c r="M6" s="169"/>
      <c r="N6" s="169"/>
      <c r="O6" s="169"/>
      <c r="P6" s="115" t="s">
        <v>95</v>
      </c>
      <c r="Q6" s="115" t="s">
        <v>96</v>
      </c>
      <c r="R6" s="115" t="s">
        <v>96</v>
      </c>
    </row>
    <row r="7" spans="1:18" ht="18.75">
      <c r="A7" s="116" t="s">
        <v>45</v>
      </c>
      <c r="B7" s="117">
        <v>207400994.77</v>
      </c>
      <c r="C7" s="117">
        <v>56362479.7</v>
      </c>
      <c r="D7" s="117">
        <v>5778093.17</v>
      </c>
      <c r="E7" s="117">
        <v>80244210</v>
      </c>
      <c r="F7" s="118">
        <f aca="true" t="shared" si="0" ref="F7:F12">SUM(B7:E7)</f>
        <v>349785777.64000005</v>
      </c>
      <c r="G7" s="119" t="s">
        <v>72</v>
      </c>
      <c r="H7" s="118">
        <f>+F7/13766</f>
        <v>25409.398346651175</v>
      </c>
      <c r="I7" s="117">
        <v>196757937.03</v>
      </c>
      <c r="J7" s="117">
        <v>60197337.31</v>
      </c>
      <c r="K7" s="117">
        <v>5431619.07</v>
      </c>
      <c r="L7" s="117">
        <v>64687889.97</v>
      </c>
      <c r="M7" s="118">
        <f aca="true" t="shared" si="1" ref="M7:M12">SUM(I7:L7)</f>
        <v>327074783.38</v>
      </c>
      <c r="N7" s="119" t="s">
        <v>89</v>
      </c>
      <c r="O7" s="118">
        <f>+M7/15693</f>
        <v>20842.081398075574</v>
      </c>
      <c r="P7" s="118">
        <f aca="true" t="shared" si="2" ref="P7:P12">(F7-M7)/M7*100</f>
        <v>6.94367019838827</v>
      </c>
      <c r="Q7" s="139">
        <f>(13766-15693)/15693*100</f>
        <v>-12.27936022430383</v>
      </c>
      <c r="R7" s="120">
        <f aca="true" t="shared" si="3" ref="R7:R12">(H7-O7)/O7*100</f>
        <v>21.91391954259097</v>
      </c>
    </row>
    <row r="8" spans="1:18" ht="18.75">
      <c r="A8" s="121" t="s">
        <v>76</v>
      </c>
      <c r="B8" s="122">
        <v>684120</v>
      </c>
      <c r="C8" s="122">
        <v>8581959.3</v>
      </c>
      <c r="D8" s="122">
        <v>0</v>
      </c>
      <c r="E8" s="122">
        <v>382083.83</v>
      </c>
      <c r="F8" s="118">
        <f t="shared" si="0"/>
        <v>9648163.13</v>
      </c>
      <c r="G8" s="123" t="s">
        <v>73</v>
      </c>
      <c r="H8" s="124">
        <f>+F8/511</f>
        <v>18880.945459882583</v>
      </c>
      <c r="I8" s="122">
        <v>2363940</v>
      </c>
      <c r="J8" s="122">
        <v>12178360.95</v>
      </c>
      <c r="K8" s="122">
        <v>0</v>
      </c>
      <c r="L8" s="122">
        <v>479408.84</v>
      </c>
      <c r="M8" s="118">
        <f t="shared" si="1"/>
        <v>15021709.79</v>
      </c>
      <c r="N8" s="119" t="s">
        <v>90</v>
      </c>
      <c r="O8" s="124">
        <f>+M8/603</f>
        <v>24911.62485903814</v>
      </c>
      <c r="P8" s="138">
        <f t="shared" si="2"/>
        <v>-35.77187107939727</v>
      </c>
      <c r="Q8" s="140">
        <f>(511-603)/603*100</f>
        <v>-15.257048092868988</v>
      </c>
      <c r="R8" s="140">
        <f t="shared" si="3"/>
        <v>-24.208294052596</v>
      </c>
    </row>
    <row r="9" spans="1:18" ht="18.75">
      <c r="A9" s="121" t="s">
        <v>64</v>
      </c>
      <c r="B9" s="122">
        <v>9901651.69</v>
      </c>
      <c r="C9" s="122">
        <v>18937947.99</v>
      </c>
      <c r="D9" s="122">
        <v>96301.55</v>
      </c>
      <c r="E9" s="122">
        <v>371246.72</v>
      </c>
      <c r="F9" s="118">
        <f t="shared" si="0"/>
        <v>29307147.95</v>
      </c>
      <c r="G9" s="123" t="s">
        <v>75</v>
      </c>
      <c r="H9" s="124">
        <f>+F9/404</f>
        <v>72542.44542079208</v>
      </c>
      <c r="I9" s="122">
        <v>8084757.08</v>
      </c>
      <c r="J9" s="122">
        <v>25778757.18</v>
      </c>
      <c r="K9" s="122">
        <v>84211.15</v>
      </c>
      <c r="L9" s="122">
        <v>548851.36</v>
      </c>
      <c r="M9" s="118">
        <f t="shared" si="1"/>
        <v>34496576.769999996</v>
      </c>
      <c r="N9" s="123" t="s">
        <v>91</v>
      </c>
      <c r="O9" s="124">
        <f>+M9/456</f>
        <v>75650.38765350876</v>
      </c>
      <c r="P9" s="138">
        <f t="shared" si="2"/>
        <v>-15.04331532545859</v>
      </c>
      <c r="Q9" s="141">
        <f>(404-456)/456*100</f>
        <v>-11.403508771929824</v>
      </c>
      <c r="R9" s="140">
        <f t="shared" si="3"/>
        <v>-4.108296505963156</v>
      </c>
    </row>
    <row r="10" spans="1:18" ht="18.75">
      <c r="A10" s="121" t="s">
        <v>65</v>
      </c>
      <c r="B10" s="122">
        <v>212864191.27</v>
      </c>
      <c r="C10" s="122">
        <v>176120686.15</v>
      </c>
      <c r="D10" s="122">
        <v>385206.21</v>
      </c>
      <c r="E10" s="122">
        <v>66415200.56</v>
      </c>
      <c r="F10" s="118">
        <f t="shared" si="0"/>
        <v>455785284.19</v>
      </c>
      <c r="G10" s="123" t="s">
        <v>112</v>
      </c>
      <c r="H10" s="124">
        <f>+F10/3336</f>
        <v>136626.2842296163</v>
      </c>
      <c r="I10" s="122">
        <v>265207003.97</v>
      </c>
      <c r="J10" s="122">
        <v>137744095.24</v>
      </c>
      <c r="K10" s="122">
        <v>1094744.93</v>
      </c>
      <c r="L10" s="122">
        <v>59491848.07</v>
      </c>
      <c r="M10" s="118">
        <f t="shared" si="1"/>
        <v>463537692.21000004</v>
      </c>
      <c r="N10" s="123" t="s">
        <v>92</v>
      </c>
      <c r="O10" s="124">
        <f>+M10/3277</f>
        <v>141451.8438236192</v>
      </c>
      <c r="P10" s="138">
        <f t="shared" si="2"/>
        <v>-1.672443935042052</v>
      </c>
      <c r="Q10" s="124">
        <f>(3336-3277)/3277*100</f>
        <v>1.8004272200183093</v>
      </c>
      <c r="R10" s="140">
        <f t="shared" si="3"/>
        <v>-3.4114504721621133</v>
      </c>
    </row>
    <row r="11" spans="1:18" ht="18.75">
      <c r="A11" s="121" t="s">
        <v>66</v>
      </c>
      <c r="B11" s="122">
        <v>4816905.72</v>
      </c>
      <c r="C11" s="122">
        <v>2102176.1</v>
      </c>
      <c r="D11" s="122">
        <v>48150.78</v>
      </c>
      <c r="E11" s="122">
        <v>2193211.61</v>
      </c>
      <c r="F11" s="118">
        <f t="shared" si="0"/>
        <v>9160444.21</v>
      </c>
      <c r="G11" s="123" t="s">
        <v>93</v>
      </c>
      <c r="H11" s="124">
        <f>+F11/20</f>
        <v>458022.21050000004</v>
      </c>
      <c r="I11" s="122">
        <v>4626500.93</v>
      </c>
      <c r="J11" s="122">
        <v>2281931</v>
      </c>
      <c r="K11" s="122">
        <v>42105.57</v>
      </c>
      <c r="L11" s="122">
        <v>4012543.5</v>
      </c>
      <c r="M11" s="118">
        <f t="shared" si="1"/>
        <v>10963081</v>
      </c>
      <c r="N11" s="123" t="s">
        <v>93</v>
      </c>
      <c r="O11" s="124">
        <f>+M11/20</f>
        <v>548154.05</v>
      </c>
      <c r="P11" s="138">
        <f t="shared" si="2"/>
        <v>-16.442793681812613</v>
      </c>
      <c r="Q11" s="124">
        <f>(20-20)/20*100</f>
        <v>0</v>
      </c>
      <c r="R11" s="140">
        <f t="shared" si="3"/>
        <v>-16.44279368181262</v>
      </c>
    </row>
    <row r="12" spans="1:18" ht="18.75">
      <c r="A12" s="125" t="s">
        <v>67</v>
      </c>
      <c r="B12" s="126">
        <v>11549649.22</v>
      </c>
      <c r="C12" s="126">
        <v>7606032.14</v>
      </c>
      <c r="D12" s="126">
        <v>48150.78</v>
      </c>
      <c r="E12" s="126">
        <v>164990.79</v>
      </c>
      <c r="F12" s="127">
        <f t="shared" si="0"/>
        <v>19368822.93</v>
      </c>
      <c r="G12" s="128" t="s">
        <v>74</v>
      </c>
      <c r="H12" s="127">
        <f>+F12/261</f>
        <v>74210.04954022988</v>
      </c>
      <c r="I12" s="126">
        <v>20592359.82</v>
      </c>
      <c r="J12" s="126">
        <v>17399824.25</v>
      </c>
      <c r="K12" s="126">
        <v>42105.57</v>
      </c>
      <c r="L12" s="126">
        <v>201155.21</v>
      </c>
      <c r="M12" s="118">
        <f t="shared" si="1"/>
        <v>38235444.85</v>
      </c>
      <c r="N12" s="128" t="s">
        <v>94</v>
      </c>
      <c r="O12" s="127">
        <f>+M12/358</f>
        <v>106802.918575419</v>
      </c>
      <c r="P12" s="138">
        <f t="shared" si="2"/>
        <v>-49.343278191256616</v>
      </c>
      <c r="Q12" s="142">
        <f>(261-358)/358*100</f>
        <v>-27.09497206703911</v>
      </c>
      <c r="R12" s="143">
        <f t="shared" si="3"/>
        <v>-30.51683368762402</v>
      </c>
    </row>
    <row r="13" spans="1:18" ht="19.5" thickBot="1">
      <c r="A13" s="129" t="s">
        <v>10</v>
      </c>
      <c r="B13" s="130">
        <f aca="true" t="shared" si="4" ref="B13:L13">SUM(B7:B12)</f>
        <v>447217512.6700001</v>
      </c>
      <c r="C13" s="130">
        <f t="shared" si="4"/>
        <v>269711281.38</v>
      </c>
      <c r="D13" s="130">
        <f t="shared" si="4"/>
        <v>6355902.49</v>
      </c>
      <c r="E13" s="130">
        <f t="shared" si="4"/>
        <v>149770943.51000002</v>
      </c>
      <c r="F13" s="131">
        <f>SUM(F7:F12)</f>
        <v>873055640.0500001</v>
      </c>
      <c r="G13" s="132"/>
      <c r="H13" s="131"/>
      <c r="I13" s="130">
        <f t="shared" si="4"/>
        <v>497632498.83000004</v>
      </c>
      <c r="J13" s="130">
        <f t="shared" si="4"/>
        <v>255580305.93</v>
      </c>
      <c r="K13" s="130">
        <f t="shared" si="4"/>
        <v>6694786.290000001</v>
      </c>
      <c r="L13" s="130">
        <f t="shared" si="4"/>
        <v>129421696.95</v>
      </c>
      <c r="M13" s="130">
        <f>SUM(M7:M12)</f>
        <v>889329288.0000001</v>
      </c>
      <c r="N13" s="130"/>
      <c r="O13" s="130"/>
      <c r="P13" s="130"/>
      <c r="Q13" s="130"/>
      <c r="R13" s="133"/>
    </row>
    <row r="14" ht="19.5" thickTop="1">
      <c r="H14" s="134"/>
    </row>
    <row r="16" spans="1:11" ht="21.75">
      <c r="A16" s="154" t="s">
        <v>42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3" ht="24">
      <c r="A17" s="86" t="s">
        <v>116</v>
      </c>
      <c r="B17" s="86"/>
      <c r="C17" s="86"/>
      <c r="D17" s="86"/>
      <c r="E17" s="86"/>
      <c r="F17" s="86"/>
      <c r="G17" s="86"/>
      <c r="H17" s="86"/>
      <c r="I17" s="86"/>
      <c r="J17" s="8"/>
      <c r="K17" s="8"/>
      <c r="L17" s="8"/>
      <c r="M17" s="8"/>
    </row>
    <row r="18" spans="1:13" s="135" customFormat="1" ht="24">
      <c r="A18" s="86" t="s">
        <v>113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s="135" customFormat="1" ht="24">
      <c r="A19" s="86" t="s">
        <v>129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</sheetData>
  <sheetProtection/>
  <mergeCells count="12">
    <mergeCell ref="G5:G6"/>
    <mergeCell ref="I4:O4"/>
    <mergeCell ref="A1:R1"/>
    <mergeCell ref="K5:K6"/>
    <mergeCell ref="O5:O6"/>
    <mergeCell ref="H5:H6"/>
    <mergeCell ref="B4:H4"/>
    <mergeCell ref="D5:D6"/>
    <mergeCell ref="A4:A6"/>
    <mergeCell ref="M5:M6"/>
    <mergeCell ref="N5:N6"/>
    <mergeCell ref="F5:F6"/>
  </mergeCells>
  <printOptions/>
  <pageMargins left="0.35" right="0.11811023622047245" top="0.8661417322834646" bottom="0.5118110236220472" header="0.31496062992125984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8" sqref="G18"/>
    </sheetView>
  </sheetViews>
  <sheetFormatPr defaultColWidth="9.140625" defaultRowHeight="12.75"/>
  <cols>
    <col min="1" max="1" width="39.421875" style="2" customWidth="1"/>
    <col min="2" max="2" width="20.00390625" style="2" customWidth="1"/>
    <col min="3" max="3" width="19.28125" style="2" customWidth="1"/>
    <col min="4" max="4" width="19.57421875" style="2" customWidth="1"/>
    <col min="5" max="5" width="20.421875" style="2" customWidth="1"/>
    <col min="6" max="6" width="19.7109375" style="2" customWidth="1"/>
    <col min="7" max="7" width="14.421875" style="2" customWidth="1"/>
    <col min="8" max="8" width="18.00390625" style="2" customWidth="1"/>
    <col min="9" max="16384" width="9.140625" style="2" customWidth="1"/>
  </cols>
  <sheetData>
    <row r="1" spans="1:8" s="8" customFormat="1" ht="24">
      <c r="A1" s="161" t="s">
        <v>0</v>
      </c>
      <c r="B1" s="161"/>
      <c r="C1" s="161"/>
      <c r="D1" s="161"/>
      <c r="E1" s="161"/>
      <c r="F1" s="161"/>
      <c r="G1" s="161"/>
      <c r="H1" s="161"/>
    </row>
    <row r="2" spans="1:8" s="8" customFormat="1" ht="24">
      <c r="A2" s="3" t="s">
        <v>97</v>
      </c>
      <c r="B2" s="4"/>
      <c r="C2" s="4"/>
      <c r="D2" s="4"/>
      <c r="E2" s="4"/>
      <c r="F2" s="4"/>
      <c r="G2" s="4"/>
      <c r="H2" s="4"/>
    </row>
    <row r="3" s="8" customFormat="1" ht="24"/>
    <row r="4" spans="1:8" s="8" customFormat="1" ht="24">
      <c r="A4" s="176" t="s">
        <v>86</v>
      </c>
      <c r="B4" s="176"/>
      <c r="C4" s="176"/>
      <c r="D4" s="176"/>
      <c r="E4" s="176"/>
      <c r="F4" s="176"/>
      <c r="G4" s="176"/>
      <c r="H4" s="176"/>
    </row>
    <row r="5" spans="1:8" s="8" customFormat="1" ht="24">
      <c r="A5" s="174" t="s">
        <v>15</v>
      </c>
      <c r="B5" s="42" t="s">
        <v>30</v>
      </c>
      <c r="C5" s="42" t="s">
        <v>31</v>
      </c>
      <c r="D5" s="174" t="s">
        <v>16</v>
      </c>
      <c r="E5" s="174" t="s">
        <v>17</v>
      </c>
      <c r="F5" s="174" t="s">
        <v>33</v>
      </c>
      <c r="G5" s="174" t="s">
        <v>18</v>
      </c>
      <c r="H5" s="42" t="s">
        <v>34</v>
      </c>
    </row>
    <row r="6" spans="1:8" s="8" customFormat="1" ht="24">
      <c r="A6" s="175"/>
      <c r="B6" s="43" t="s">
        <v>35</v>
      </c>
      <c r="C6" s="43" t="s">
        <v>35</v>
      </c>
      <c r="D6" s="175"/>
      <c r="E6" s="175"/>
      <c r="F6" s="175"/>
      <c r="G6" s="175"/>
      <c r="H6" s="43" t="s">
        <v>37</v>
      </c>
    </row>
    <row r="7" spans="1:8" s="32" customFormat="1" ht="23.25">
      <c r="A7" s="51" t="s">
        <v>20</v>
      </c>
      <c r="B7" s="51"/>
      <c r="C7" s="51"/>
      <c r="D7" s="51"/>
      <c r="E7" s="51"/>
      <c r="F7" s="51"/>
      <c r="G7" s="51"/>
      <c r="H7" s="51"/>
    </row>
    <row r="8" spans="1:8" s="57" customFormat="1" ht="23.25">
      <c r="A8" s="152" t="s">
        <v>21</v>
      </c>
      <c r="B8" s="83">
        <v>63446876.05</v>
      </c>
      <c r="C8" s="83">
        <v>36010516.1</v>
      </c>
      <c r="D8" s="53">
        <f>6355902.49*14/132+85346.43</f>
        <v>759457.300151515</v>
      </c>
      <c r="E8" s="53">
        <v>22177167.07</v>
      </c>
      <c r="F8" s="54">
        <f aca="true" t="shared" si="0" ref="F8:F15">SUM(B8:E8)</f>
        <v>122394016.52015153</v>
      </c>
      <c r="G8" s="81" t="s">
        <v>78</v>
      </c>
      <c r="H8" s="84">
        <v>50161.48</v>
      </c>
    </row>
    <row r="9" spans="1:8" s="57" customFormat="1" ht="23.25">
      <c r="A9" s="152" t="s">
        <v>22</v>
      </c>
      <c r="B9" s="83">
        <v>46912393.35</v>
      </c>
      <c r="C9" s="83">
        <v>42764156.59</v>
      </c>
      <c r="D9" s="65">
        <f>6355902.49*24/132+141381.26</f>
        <v>1296999.8945454545</v>
      </c>
      <c r="E9" s="53">
        <v>15682492.52</v>
      </c>
      <c r="F9" s="54">
        <f t="shared" si="0"/>
        <v>106656042.35454544</v>
      </c>
      <c r="G9" s="81" t="s">
        <v>98</v>
      </c>
      <c r="H9" s="84">
        <v>26386.95</v>
      </c>
    </row>
    <row r="10" spans="1:8" s="57" customFormat="1" ht="23.25">
      <c r="A10" s="152" t="s">
        <v>23</v>
      </c>
      <c r="B10" s="83">
        <v>91898737.11</v>
      </c>
      <c r="C10" s="53">
        <v>53880593.64</v>
      </c>
      <c r="D10" s="65">
        <f>6355902.49*25/132+139912.18</f>
        <v>1343681.5909848483</v>
      </c>
      <c r="E10" s="53">
        <v>42415246.9</v>
      </c>
      <c r="F10" s="54">
        <f t="shared" si="0"/>
        <v>189538259.24098486</v>
      </c>
      <c r="G10" s="81" t="s">
        <v>80</v>
      </c>
      <c r="H10" s="84">
        <v>47384.56</v>
      </c>
    </row>
    <row r="11" spans="1:8" s="57" customFormat="1" ht="23.25">
      <c r="A11" s="152" t="s">
        <v>24</v>
      </c>
      <c r="B11" s="83">
        <v>109633550.76</v>
      </c>
      <c r="C11" s="53">
        <v>49017641.4</v>
      </c>
      <c r="D11" s="65">
        <f>6355902.49*24/132+66808.06</f>
        <v>1222426.6945454546</v>
      </c>
      <c r="E11" s="53">
        <v>30469557.19</v>
      </c>
      <c r="F11" s="54">
        <f t="shared" si="0"/>
        <v>190343176.04454544</v>
      </c>
      <c r="G11" s="81" t="s">
        <v>99</v>
      </c>
      <c r="H11" s="84">
        <v>99656.11</v>
      </c>
    </row>
    <row r="12" spans="1:8" s="57" customFormat="1" ht="23.25">
      <c r="A12" s="152" t="s">
        <v>25</v>
      </c>
      <c r="B12" s="53">
        <v>74168085.14</v>
      </c>
      <c r="C12" s="53">
        <v>37467463.68</v>
      </c>
      <c r="D12" s="53">
        <v>1637035.45</v>
      </c>
      <c r="E12" s="53">
        <v>23848753.77</v>
      </c>
      <c r="F12" s="54">
        <f t="shared" si="0"/>
        <v>137121338.04</v>
      </c>
      <c r="G12" s="81" t="s">
        <v>100</v>
      </c>
      <c r="H12" s="84">
        <v>99797.19</v>
      </c>
    </row>
    <row r="13" spans="1:8" s="57" customFormat="1" ht="23.25">
      <c r="A13" s="152" t="s">
        <v>88</v>
      </c>
      <c r="B13" s="53">
        <v>17420294.91</v>
      </c>
      <c r="C13" s="53">
        <v>21616605.63</v>
      </c>
      <c r="D13" s="53"/>
      <c r="E13" s="53">
        <v>5162764.02</v>
      </c>
      <c r="F13" s="54">
        <f t="shared" si="0"/>
        <v>44199664.56</v>
      </c>
      <c r="G13" s="55" t="s">
        <v>101</v>
      </c>
      <c r="H13" s="84">
        <v>86496.41</v>
      </c>
    </row>
    <row r="14" spans="1:8" s="57" customFormat="1" ht="23.25">
      <c r="A14" s="152" t="s">
        <v>62</v>
      </c>
      <c r="B14" s="53">
        <v>11646883.2</v>
      </c>
      <c r="C14" s="53">
        <v>6904715.46</v>
      </c>
      <c r="D14" s="53">
        <v>48150.78</v>
      </c>
      <c r="E14" s="53">
        <v>4103827.11</v>
      </c>
      <c r="F14" s="54">
        <f t="shared" si="0"/>
        <v>22703576.55</v>
      </c>
      <c r="G14" s="85" t="s">
        <v>93</v>
      </c>
      <c r="H14" s="56">
        <f>+F14/20</f>
        <v>1135178.8275000001</v>
      </c>
    </row>
    <row r="15" spans="1:8" s="57" customFormat="1" ht="23.25">
      <c r="A15" s="153" t="s">
        <v>63</v>
      </c>
      <c r="B15" s="58">
        <v>32090692.15</v>
      </c>
      <c r="C15" s="58">
        <v>22049588.88</v>
      </c>
      <c r="D15" s="58">
        <v>48150.78</v>
      </c>
      <c r="E15" s="58">
        <v>5911134.93</v>
      </c>
      <c r="F15" s="59">
        <f t="shared" si="0"/>
        <v>60099566.74</v>
      </c>
      <c r="G15" s="91" t="s">
        <v>74</v>
      </c>
      <c r="H15" s="60">
        <f>+F15/261</f>
        <v>230266.5392337165</v>
      </c>
    </row>
    <row r="16" spans="1:8" s="64" customFormat="1" ht="24" thickBot="1">
      <c r="A16" s="61" t="s">
        <v>10</v>
      </c>
      <c r="B16" s="62">
        <f>+B8+B9+B10+B11+B12+B13+B14+B15</f>
        <v>447217512.66999996</v>
      </c>
      <c r="C16" s="62">
        <f>SUM(C8:C15)</f>
        <v>269711281.38</v>
      </c>
      <c r="D16" s="159">
        <f>+D8+D9+D10+D11+D12+D13+D14+D15</f>
        <v>6355902.490227273</v>
      </c>
      <c r="E16" s="62">
        <f>SUM(E8:E15)</f>
        <v>149770943.51000005</v>
      </c>
      <c r="F16" s="62">
        <f>SUM(F8:F15)</f>
        <v>873055640.0502272</v>
      </c>
      <c r="G16" s="63"/>
      <c r="H16" s="63"/>
    </row>
    <row r="17" s="8" customFormat="1" ht="24.75" thickTop="1"/>
    <row r="18" s="8" customFormat="1" ht="24"/>
    <row r="19" s="8" customFormat="1" ht="24">
      <c r="F19" s="160"/>
    </row>
    <row r="20" s="8" customFormat="1" ht="24"/>
    <row r="21" s="8" customFormat="1" ht="24">
      <c r="D21" s="160"/>
    </row>
    <row r="22" s="8" customFormat="1" ht="24"/>
    <row r="23" s="8" customFormat="1" ht="24"/>
    <row r="24" s="8" customFormat="1" ht="24"/>
    <row r="25" spans="1:8" s="8" customFormat="1" ht="24">
      <c r="A25" s="161" t="s">
        <v>0</v>
      </c>
      <c r="B25" s="161"/>
      <c r="C25" s="161"/>
      <c r="D25" s="161"/>
      <c r="E25" s="161"/>
      <c r="F25" s="161"/>
      <c r="G25" s="161"/>
      <c r="H25" s="161"/>
    </row>
    <row r="26" spans="1:8" s="8" customFormat="1" ht="24">
      <c r="A26" s="3" t="s">
        <v>103</v>
      </c>
      <c r="B26" s="4"/>
      <c r="C26" s="4"/>
      <c r="D26" s="4"/>
      <c r="E26" s="4"/>
      <c r="F26" s="4"/>
      <c r="G26" s="4"/>
      <c r="H26" s="4"/>
    </row>
    <row r="28" spans="1:8" s="8" customFormat="1" ht="24">
      <c r="A28" s="176" t="s">
        <v>87</v>
      </c>
      <c r="B28" s="176"/>
      <c r="C28" s="176"/>
      <c r="D28" s="176"/>
      <c r="E28" s="176"/>
      <c r="F28" s="176"/>
      <c r="G28" s="176"/>
      <c r="H28" s="176"/>
    </row>
    <row r="29" spans="1:8" s="8" customFormat="1" ht="24">
      <c r="A29" s="174" t="s">
        <v>15</v>
      </c>
      <c r="B29" s="42" t="s">
        <v>30</v>
      </c>
      <c r="C29" s="42" t="s">
        <v>31</v>
      </c>
      <c r="D29" s="174" t="s">
        <v>16</v>
      </c>
      <c r="E29" s="174" t="s">
        <v>17</v>
      </c>
      <c r="F29" s="174" t="s">
        <v>33</v>
      </c>
      <c r="G29" s="174" t="s">
        <v>18</v>
      </c>
      <c r="H29" s="42" t="s">
        <v>34</v>
      </c>
    </row>
    <row r="30" spans="1:8" s="8" customFormat="1" ht="24">
      <c r="A30" s="175"/>
      <c r="B30" s="43" t="s">
        <v>35</v>
      </c>
      <c r="C30" s="43" t="s">
        <v>35</v>
      </c>
      <c r="D30" s="175"/>
      <c r="E30" s="175"/>
      <c r="F30" s="175"/>
      <c r="G30" s="175"/>
      <c r="H30" s="43" t="s">
        <v>37</v>
      </c>
    </row>
    <row r="31" spans="1:8" s="32" customFormat="1" ht="23.25">
      <c r="A31" s="51" t="s">
        <v>20</v>
      </c>
      <c r="B31" s="51"/>
      <c r="C31" s="51"/>
      <c r="D31" s="51"/>
      <c r="E31" s="51"/>
      <c r="F31" s="51"/>
      <c r="G31" s="51"/>
      <c r="H31" s="51"/>
    </row>
    <row r="32" spans="1:8" s="57" customFormat="1" ht="23.25">
      <c r="A32" s="152" t="s">
        <v>21</v>
      </c>
      <c r="B32" s="83">
        <v>41865272.58</v>
      </c>
      <c r="C32" s="83">
        <v>22583887.93</v>
      </c>
      <c r="D32" s="53">
        <v>817683.82</v>
      </c>
      <c r="E32" s="53">
        <v>8349993.35</v>
      </c>
      <c r="F32" s="54">
        <f aca="true" t="shared" si="1" ref="F32:F39">SUM(B32:E32)</f>
        <v>73616837.67999999</v>
      </c>
      <c r="G32" s="81" t="s">
        <v>104</v>
      </c>
      <c r="H32" s="84">
        <v>30395.06</v>
      </c>
    </row>
    <row r="33" spans="1:8" s="57" customFormat="1" ht="23.25">
      <c r="A33" s="152" t="s">
        <v>22</v>
      </c>
      <c r="B33" s="83">
        <v>79023509.48</v>
      </c>
      <c r="C33" s="83">
        <v>42054028.79</v>
      </c>
      <c r="D33" s="65">
        <v>1379841.45</v>
      </c>
      <c r="E33" s="53">
        <v>13505384.95</v>
      </c>
      <c r="F33" s="54">
        <f t="shared" si="1"/>
        <v>135962764.67000002</v>
      </c>
      <c r="G33" s="81" t="s">
        <v>105</v>
      </c>
      <c r="H33" s="84">
        <v>28249.07</v>
      </c>
    </row>
    <row r="34" spans="1:8" s="57" customFormat="1" ht="23.25">
      <c r="A34" s="152" t="s">
        <v>23</v>
      </c>
      <c r="B34" s="83">
        <v>93023050.13</v>
      </c>
      <c r="C34" s="53">
        <v>48834340.92</v>
      </c>
      <c r="D34" s="53">
        <v>1277630.97</v>
      </c>
      <c r="E34" s="53">
        <v>37147725.37</v>
      </c>
      <c r="F34" s="54">
        <f t="shared" si="1"/>
        <v>180282747.39000002</v>
      </c>
      <c r="G34" s="81" t="s">
        <v>106</v>
      </c>
      <c r="H34" s="84">
        <v>38862.42</v>
      </c>
    </row>
    <row r="35" spans="1:8" s="57" customFormat="1" ht="23.25">
      <c r="A35" s="152" t="s">
        <v>24</v>
      </c>
      <c r="B35" s="83">
        <v>84234943.57</v>
      </c>
      <c r="C35" s="53">
        <v>31499257.84</v>
      </c>
      <c r="D35" s="53">
        <v>1430946.69</v>
      </c>
      <c r="E35" s="53">
        <v>23319585.9</v>
      </c>
      <c r="F35" s="54">
        <f t="shared" si="1"/>
        <v>140484734</v>
      </c>
      <c r="G35" s="81" t="s">
        <v>107</v>
      </c>
      <c r="H35" s="84">
        <v>59426.71</v>
      </c>
    </row>
    <row r="36" spans="1:8" s="57" customFormat="1" ht="23.25">
      <c r="A36" s="152" t="s">
        <v>25</v>
      </c>
      <c r="B36" s="53">
        <v>61367018.23</v>
      </c>
      <c r="C36" s="53">
        <v>25372260.23</v>
      </c>
      <c r="D36" s="53">
        <v>1686472.88</v>
      </c>
      <c r="E36" s="53">
        <v>19582829.22</v>
      </c>
      <c r="F36" s="54">
        <f t="shared" si="1"/>
        <v>108008580.55999999</v>
      </c>
      <c r="G36" s="81" t="s">
        <v>108</v>
      </c>
      <c r="H36" s="84">
        <v>74232.7</v>
      </c>
    </row>
    <row r="37" spans="1:8" s="57" customFormat="1" ht="23.25">
      <c r="A37" s="152" t="s">
        <v>88</v>
      </c>
      <c r="B37" s="53">
        <v>28295619.32</v>
      </c>
      <c r="C37" s="53">
        <v>25973862.63</v>
      </c>
      <c r="D37" s="53"/>
      <c r="E37" s="53">
        <v>5976304.8</v>
      </c>
      <c r="F37" s="54">
        <f t="shared" si="1"/>
        <v>60245786.75</v>
      </c>
      <c r="G37" s="55" t="s">
        <v>109</v>
      </c>
      <c r="H37" s="84">
        <v>99910.09</v>
      </c>
    </row>
    <row r="38" spans="1:8" s="57" customFormat="1" ht="23.25">
      <c r="A38" s="152" t="s">
        <v>62</v>
      </c>
      <c r="B38" s="53">
        <v>12957406.75</v>
      </c>
      <c r="C38" s="53">
        <v>6122513.23</v>
      </c>
      <c r="D38" s="53">
        <v>51105.24</v>
      </c>
      <c r="E38" s="53">
        <v>5711705.56</v>
      </c>
      <c r="F38" s="54">
        <f t="shared" si="1"/>
        <v>24842730.779999997</v>
      </c>
      <c r="G38" s="85" t="s">
        <v>93</v>
      </c>
      <c r="H38" s="56">
        <v>1242136.54</v>
      </c>
    </row>
    <row r="39" spans="1:8" s="57" customFormat="1" ht="23.25">
      <c r="A39" s="153" t="s">
        <v>63</v>
      </c>
      <c r="B39" s="58">
        <v>96865678.77</v>
      </c>
      <c r="C39" s="58">
        <v>53140154.36</v>
      </c>
      <c r="D39" s="58">
        <v>51105.24</v>
      </c>
      <c r="E39" s="58">
        <v>15828167.8</v>
      </c>
      <c r="F39" s="59">
        <f t="shared" si="1"/>
        <v>165885106.17000002</v>
      </c>
      <c r="G39" s="91" t="s">
        <v>94</v>
      </c>
      <c r="H39" s="60">
        <f>+F39/358</f>
        <v>463366.21835195535</v>
      </c>
    </row>
    <row r="40" spans="1:8" s="64" customFormat="1" ht="24" thickBot="1">
      <c r="A40" s="61" t="s">
        <v>10</v>
      </c>
      <c r="B40" s="62">
        <f>SUM(B32:B39)</f>
        <v>497632498.83</v>
      </c>
      <c r="C40" s="62">
        <f>SUM(C32:C39)</f>
        <v>255580305.92999995</v>
      </c>
      <c r="D40" s="62">
        <f>SUM(D32:D39)</f>
        <v>6694786.29</v>
      </c>
      <c r="E40" s="62">
        <f>SUM(E32:E39)</f>
        <v>129421696.94999999</v>
      </c>
      <c r="F40" s="62">
        <f>SUM(F32:F39)</f>
        <v>889329288</v>
      </c>
      <c r="G40" s="63"/>
      <c r="H40" s="63"/>
    </row>
    <row r="41" ht="22.5" thickTop="1"/>
    <row r="42" ht="21.75">
      <c r="F42" s="25"/>
    </row>
  </sheetData>
  <sheetProtection/>
  <mergeCells count="14">
    <mergeCell ref="G29:G30"/>
    <mergeCell ref="A25:H25"/>
    <mergeCell ref="A29:A30"/>
    <mergeCell ref="D29:D30"/>
    <mergeCell ref="E29:E30"/>
    <mergeCell ref="F29:F30"/>
    <mergeCell ref="G5:G6"/>
    <mergeCell ref="A4:H4"/>
    <mergeCell ref="A1:H1"/>
    <mergeCell ref="A28:H28"/>
    <mergeCell ref="A5:A6"/>
    <mergeCell ref="D5:D6"/>
    <mergeCell ref="E5:E6"/>
    <mergeCell ref="F5:F6"/>
  </mergeCells>
  <printOptions/>
  <pageMargins left="0.34" right="0.17" top="0.71" bottom="0.984251968503937" header="0.4724409448818898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W6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6.8515625" style="2" customWidth="1"/>
    <col min="2" max="2" width="28.421875" style="2" customWidth="1"/>
    <col min="3" max="3" width="29.7109375" style="2" customWidth="1"/>
    <col min="4" max="4" width="30.57421875" style="2" customWidth="1"/>
    <col min="5" max="16384" width="9.140625" style="2" customWidth="1"/>
  </cols>
  <sheetData>
    <row r="1" spans="1:4" s="8" customFormat="1" ht="24">
      <c r="A1" s="161" t="s">
        <v>0</v>
      </c>
      <c r="B1" s="161"/>
      <c r="C1" s="161"/>
      <c r="D1" s="161"/>
    </row>
    <row r="2" spans="1:4" s="8" customFormat="1" ht="24">
      <c r="A2" s="3" t="s">
        <v>110</v>
      </c>
      <c r="B2" s="4"/>
      <c r="C2" s="4"/>
      <c r="D2" s="4"/>
    </row>
    <row r="3" s="8" customFormat="1" ht="24">
      <c r="A3" s="39"/>
    </row>
    <row r="4" spans="1:153" s="41" customFormat="1" ht="24">
      <c r="A4" s="69" t="s">
        <v>15</v>
      </c>
      <c r="B4" s="11" t="s">
        <v>41</v>
      </c>
      <c r="C4" s="11" t="s">
        <v>39</v>
      </c>
      <c r="D4" s="69" t="s">
        <v>40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</row>
    <row r="5" spans="1:153" s="44" customFormat="1" ht="24">
      <c r="A5" s="66" t="s">
        <v>20</v>
      </c>
      <c r="B5" s="73"/>
      <c r="C5" s="70"/>
      <c r="D5" s="70"/>
      <c r="E5" s="15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</row>
    <row r="6" spans="1:153" s="45" customFormat="1" ht="24">
      <c r="A6" s="67" t="s">
        <v>21</v>
      </c>
      <c r="B6" s="74">
        <f>(122394016.52-73616837.68)/73616837.68*100</f>
        <v>66.25818274349975</v>
      </c>
      <c r="C6" s="147">
        <f>(2440-2422)/2422*100</f>
        <v>0.7431874483897605</v>
      </c>
      <c r="D6" s="99">
        <f>(50161.48-30395.06)/30395.06*100</f>
        <v>65.03168607003902</v>
      </c>
      <c r="E6" s="15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</row>
    <row r="7" spans="1:153" s="45" customFormat="1" ht="24">
      <c r="A7" s="67" t="s">
        <v>22</v>
      </c>
      <c r="B7" s="136">
        <f>(106656042.35-135962764.67)/135962764.67*100</f>
        <v>-21.55496204503591</v>
      </c>
      <c r="C7" s="136">
        <f>(4042-4813)/4813*100</f>
        <v>-16.019114897153543</v>
      </c>
      <c r="D7" s="137">
        <f>(26386.95-28249.07)/28249.07*100</f>
        <v>-6.591792225372371</v>
      </c>
      <c r="E7" s="15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</row>
    <row r="8" spans="1:153" s="45" customFormat="1" ht="24">
      <c r="A8" s="67" t="s">
        <v>23</v>
      </c>
      <c r="B8" s="74">
        <f>(189538259.24-180282747.39)/180282747.39*100</f>
        <v>5.133886621983781</v>
      </c>
      <c r="C8" s="100">
        <f>(4000-4639)/4639*100</f>
        <v>-13.774520370769563</v>
      </c>
      <c r="D8" s="100">
        <f>(47384.56-38862.42)/38862.42*100</f>
        <v>21.928999789513878</v>
      </c>
      <c r="E8" s="15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</row>
    <row r="9" spans="1:153" s="45" customFormat="1" ht="24">
      <c r="A9" s="67" t="s">
        <v>24</v>
      </c>
      <c r="B9" s="74">
        <f>+(190343176.04-140484734)/140484734*100</f>
        <v>35.49029180636808</v>
      </c>
      <c r="C9" s="100">
        <f>(1910-2364)/2364*100</f>
        <v>-19.204737732656515</v>
      </c>
      <c r="D9" s="99">
        <f>(99656.11-59426.71)/59426.71*100</f>
        <v>67.69582229943406</v>
      </c>
      <c r="E9" s="15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</row>
    <row r="10" spans="1:153" s="45" customFormat="1" ht="24">
      <c r="A10" s="67" t="s">
        <v>25</v>
      </c>
      <c r="B10" s="147">
        <f>(137121338.04-108008580.56)/108008580.56*100</f>
        <v>26.95411543143789</v>
      </c>
      <c r="C10" s="100">
        <f>(1374-1455)/1455*100</f>
        <v>-5.567010309278351</v>
      </c>
      <c r="D10" s="99">
        <f>(99797.19-74232.7)/74232.7*100</f>
        <v>34.438313573398254</v>
      </c>
      <c r="E10" s="15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</row>
    <row r="11" spans="1:153" s="45" customFormat="1" ht="24">
      <c r="A11" s="67" t="s">
        <v>88</v>
      </c>
      <c r="B11" s="100">
        <f>(44199664.56-60245786.75)/60245786.75*100</f>
        <v>-26.63443048156392</v>
      </c>
      <c r="C11" s="136">
        <f>(511-603)/603*100</f>
        <v>-15.257048092868988</v>
      </c>
      <c r="D11" s="144">
        <f>(86496.41-99910)/99910*100</f>
        <v>-13.425673105795214</v>
      </c>
      <c r="E11" s="15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</row>
    <row r="12" spans="1:153" s="45" customFormat="1" ht="24">
      <c r="A12" s="67" t="s">
        <v>26</v>
      </c>
      <c r="B12" s="137">
        <f>+(22703576.55-24842730.78)/24842730.78*100</f>
        <v>-8.610785380012077</v>
      </c>
      <c r="C12" s="148">
        <f>(20-20)/20*100</f>
        <v>0</v>
      </c>
      <c r="D12" s="136">
        <f>(1135178.83-1242136.54)/1242136.54*100</f>
        <v>-8.610785252320165</v>
      </c>
      <c r="E12" s="15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</row>
    <row r="13" spans="1:153" s="46" customFormat="1" ht="24">
      <c r="A13" s="68" t="s">
        <v>38</v>
      </c>
      <c r="B13" s="145">
        <f>+(60099566.74-165885106.17)/165885106.17*100</f>
        <v>-63.77036605178428</v>
      </c>
      <c r="C13" s="146">
        <f>(261-358)/358*100</f>
        <v>-27.09497206703911</v>
      </c>
      <c r="D13" s="102">
        <f>(230266.54-463366.22)/463366.22*100</f>
        <v>-50.30571283336105</v>
      </c>
      <c r="E13" s="151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</row>
    <row r="14" spans="1:4" s="47" customFormat="1" ht="24">
      <c r="A14" s="40"/>
      <c r="B14" s="21"/>
      <c r="C14" s="21"/>
      <c r="D14" s="21"/>
    </row>
    <row r="15" spans="1:8" s="8" customFormat="1" ht="24">
      <c r="A15" s="8" t="s">
        <v>118</v>
      </c>
      <c r="G15" s="149"/>
      <c r="H15" s="149"/>
    </row>
    <row r="16" s="8" customFormat="1" ht="24">
      <c r="A16" s="8" t="s">
        <v>119</v>
      </c>
    </row>
    <row r="17" s="8" customFormat="1" ht="24">
      <c r="A17" s="8" t="s">
        <v>120</v>
      </c>
    </row>
    <row r="18" s="8" customFormat="1" ht="24">
      <c r="A18" s="8" t="s">
        <v>121</v>
      </c>
    </row>
    <row r="19" s="8" customFormat="1" ht="24">
      <c r="A19" s="8" t="s">
        <v>122</v>
      </c>
    </row>
    <row r="20" s="8" customFormat="1" ht="24">
      <c r="A20" s="8" t="s">
        <v>123</v>
      </c>
    </row>
    <row r="21" s="8" customFormat="1" ht="24">
      <c r="A21" s="8" t="s">
        <v>117</v>
      </c>
    </row>
    <row r="22" s="8" customFormat="1" ht="24"/>
    <row r="23" s="8" customFormat="1" ht="24"/>
    <row r="24" s="8" customFormat="1" ht="24"/>
    <row r="25" s="8" customFormat="1" ht="24"/>
    <row r="61" ht="21.75">
      <c r="D61" s="47"/>
    </row>
    <row r="62" ht="21.75">
      <c r="D62" s="47"/>
    </row>
    <row r="63" ht="21.75">
      <c r="D63" s="47"/>
    </row>
    <row r="64" ht="21.75">
      <c r="D64" s="47"/>
    </row>
    <row r="65" ht="21.75">
      <c r="D65" s="47"/>
    </row>
    <row r="66" ht="21.75">
      <c r="D66" s="47"/>
    </row>
    <row r="67" ht="21.75">
      <c r="D67" s="47"/>
    </row>
  </sheetData>
  <sheetProtection/>
  <mergeCells count="1">
    <mergeCell ref="A1:D1"/>
  </mergeCells>
  <printOptions horizontalCentered="1"/>
  <pageMargins left="0.52" right="0.31496062992125984" top="0.6299212598425197" bottom="0.7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hp_1</dc:creator>
  <cp:keywords/>
  <dc:description/>
  <cp:lastModifiedBy>hp_1</cp:lastModifiedBy>
  <cp:lastPrinted>2020-03-09T03:46:43Z</cp:lastPrinted>
  <dcterms:created xsi:type="dcterms:W3CDTF">2011-01-27T16:29:30Z</dcterms:created>
  <dcterms:modified xsi:type="dcterms:W3CDTF">2020-03-09T03:46:55Z</dcterms:modified>
  <cp:category/>
  <cp:version/>
  <cp:contentType/>
  <cp:contentStatus/>
</cp:coreProperties>
</file>